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firstSheet="2" activeTab="2"/>
  </bookViews>
  <sheets>
    <sheet name="Income statement2" sheetId="1" state="hidden" r:id="rId1"/>
    <sheet name="BS12.09" sheetId="2" state="hidden" r:id="rId2"/>
    <sheet name="Income Statement" sheetId="3" r:id="rId3"/>
    <sheet name="balance sheet" sheetId="4" r:id="rId4"/>
    <sheet name="equity statement" sheetId="5" r:id="rId5"/>
    <sheet name="detail cashflow statem" sheetId="6" state="hidden" r:id="rId6"/>
    <sheet name="key info" sheetId="7" state="hidden" r:id="rId7"/>
    <sheet name="CF12.09" sheetId="8" state="hidden" r:id="rId8"/>
    <sheet name="cashflow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'cashflow'!$G$14:$G$16</definedName>
    <definedName name="_xlnm.Print_Area" localSheetId="8">'cashflow'!$B$1:$K$81</definedName>
    <definedName name="_xlnm.Print_Area" localSheetId="4">'equity statement'!$A$1:$H$38</definedName>
    <definedName name="_xlnm.Print_Area" localSheetId="2">'Income Statement'!$A$1:$M$127</definedName>
    <definedName name="_xlnm.Print_Area" localSheetId="0">'Income statement2'!$A$1:$M$65</definedName>
  </definedNames>
  <calcPr fullCalcOnLoad="1"/>
</workbook>
</file>

<file path=xl/sharedStrings.xml><?xml version="1.0" encoding="utf-8"?>
<sst xmlns="http://schemas.openxmlformats.org/spreadsheetml/2006/main" count="527" uniqueCount="294">
  <si>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</si>
  <si>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</si>
  <si>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</si>
  <si>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</si>
  <si>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</si>
  <si>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</si>
  <si>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</si>
  <si>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</si>
  <si>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</si>
  <si>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</si>
  <si>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</si>
  <si>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</si>
  <si>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</si>
  <si>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</si>
  <si>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</si>
  <si>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</si>
  <si>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</si>
  <si>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</si>
  <si>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</si>
  <si>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</si>
  <si>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</si>
  <si>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</si>
  <si>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</si>
  <si>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</si>
  <si>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</si>
  <si>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</si>
  <si>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</si>
  <si>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</si>
  <si>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</si>
  <si>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</si>
  <si>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</si>
  <si>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</si>
  <si>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</si>
  <si>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</si>
  <si>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</si>
  <si>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</si>
  <si>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</si>
  <si>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</si>
  <si>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</si>
  <si>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</si>
  <si>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</si>
  <si>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</si>
  <si>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</si>
  <si>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</si>
  <si>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</si>
  <si>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</si>
  <si>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</si>
  <si>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</si>
  <si>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</si>
  <si>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</si>
  <si>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</si>
  <si>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</si>
  <si>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</si>
  <si>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</si>
  <si>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</si>
  <si>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</si>
  <si>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</si>
  <si>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</si>
  <si>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</si>
  <si>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</si>
  <si>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</si>
  <si>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</si>
  <si>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</si>
  <si>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</si>
  <si>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</si>
  <si>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</si>
  <si>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</si>
  <si>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</si>
  <si>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</si>
  <si>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</si>
  <si>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</si>
  <si>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</si>
  <si>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</si>
  <si>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</si>
  <si>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</si>
  <si>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</si>
  <si>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</si>
  <si>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</si>
  <si>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</si>
  <si>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</si>
  <si>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</si>
  <si>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</si>
  <si>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</si>
  <si>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</si>
  <si>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</si>
  <si>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</si>
  <si>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</si>
  <si>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</si>
  <si>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</si>
  <si>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</si>
  <si>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</si>
  <si>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</si>
  <si>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</si>
  <si>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</si>
  <si>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</si>
  <si>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</si>
  <si>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</si>
  <si>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</si>
  <si>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</si>
  <si>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</si>
  <si>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</si>
  <si>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</si>
  <si>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</si>
  <si>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</si>
  <si>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</si>
  <si>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</si>
  <si>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</si>
  <si>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</si>
  <si>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</si>
  <si>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</si>
  <si>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</si>
  <si>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</si>
  <si>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</si>
  <si>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</si>
  <si>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Short term and fixed  deposits with licensed banks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</si>
  <si>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</si>
  <si>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</si>
  <si>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</si>
  <si>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</si>
  <si>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</si>
  <si>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</si>
  <si>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</si>
  <si>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</si>
  <si>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</si>
  <si>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</si>
  <si>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</si>
  <si>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</si>
  <si>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</si>
  <si>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Profit  before taxation</t>
  </si>
  <si>
    <t>Profit after tax for the period</t>
  </si>
  <si>
    <t>Net  Assets Per Share Attributable to ordinary equity holders of the Company (RM)</t>
  </si>
  <si>
    <t xml:space="preserve">The net assets per share attributed to ordinary equity holders of the Company  is calculated based on the net assets 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</si>
  <si>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</si>
  <si>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</si>
  <si>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</si>
  <si>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</si>
  <si>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</si>
  <si>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</si>
  <si>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</si>
  <si>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</si>
  <si>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>30 September 2009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</si>
  <si>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</si>
  <si>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</si>
  <si>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 xml:space="preserve">Share premium 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</si>
  <si>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</si>
  <si>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</si>
  <si>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</si>
  <si>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</si>
  <si>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</si>
  <si>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</si>
  <si>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</si>
  <si>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</si>
  <si>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</si>
  <si>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</si>
  <si>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</si>
  <si>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</si>
  <si>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</si>
  <si>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</si>
  <si>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</si>
  <si>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</si>
  <si>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</si>
  <si>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</si>
  <si>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</si>
  <si>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</si>
  <si>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</si>
  <si>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</si>
  <si>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</si>
  <si>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</si>
  <si>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</si>
  <si>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</si>
  <si>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</si>
  <si>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</si>
  <si>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</si>
  <si>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</si>
  <si>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</si>
  <si>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</si>
  <si>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</si>
  <si>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</si>
  <si>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</si>
  <si>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</si>
  <si>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</si>
  <si>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</si>
  <si>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</si>
  <si>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</si>
  <si>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</si>
  <si>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</si>
  <si>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</si>
  <si>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</si>
  <si>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</si>
  <si>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</si>
  <si>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</si>
  <si>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</si>
  <si>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</si>
  <si>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</si>
  <si>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</si>
  <si>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</si>
  <si>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</si>
  <si>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</si>
  <si>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</si>
  <si>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</si>
  <si>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</si>
  <si>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</si>
  <si>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</si>
  <si>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</si>
  <si>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</si>
  <si>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</si>
  <si>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</si>
  <si>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</si>
  <si>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</si>
  <si>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</si>
  <si>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</si>
  <si>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</si>
  <si>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</si>
  <si>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</si>
  <si>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</si>
  <si>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</si>
  <si>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</si>
  <si>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</si>
  <si>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</si>
  <si>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</si>
  <si>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</si>
  <si>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</si>
  <si>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 xml:space="preserve">Total comprehensive income attributable to </t>
  </si>
  <si>
    <t>owners of the parent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</si>
  <si>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</si>
  <si>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</si>
  <si>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</si>
  <si>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</si>
  <si>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Dividend paid</t>
  </si>
  <si>
    <t>Profit attributable to: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</si>
  <si>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</si>
  <si>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</si>
  <si>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</si>
  <si>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</si>
  <si>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</si>
  <si>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</si>
  <si>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31 December 2010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</si>
  <si>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</si>
  <si>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</si>
  <si>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</si>
  <si>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</si>
  <si>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</si>
  <si>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Amount due from contract customers</t>
  </si>
  <si>
    <t>Amount due to contract customers</t>
  </si>
  <si>
    <t xml:space="preserve"> for the financial year ended 31 December 2010 and the accompanying notes attached to this interim financial report.</t>
  </si>
  <si>
    <t>Balance as at 1 Jan 2011</t>
  </si>
  <si>
    <t>Total comprehensive income for the year</t>
  </si>
  <si>
    <t>statements for the financial year ended 31 December 2010 and the accompanying notes attached to this interim financial report.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</si>
  <si>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</si>
  <si>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</si>
  <si>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</si>
  <si>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</si>
  <si>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Proceeds from Rights Issue</t>
  </si>
  <si>
    <t>Capitalization of Bonus Issue</t>
  </si>
  <si>
    <t>New Rights Issue</t>
  </si>
  <si>
    <t>Repayment of medium term notes</t>
  </si>
  <si>
    <t>divided  by the number of ordinary shares in issue as at Balance Sheet date.</t>
  </si>
  <si>
    <t>FOR THE FINANCIAL YEAR ENDED 31 DECEMBER 2011</t>
  </si>
  <si>
    <t>Period Ended                             31 December 2011</t>
  </si>
  <si>
    <t>Preceding year Corresponding                Period                                         31 December 2010</t>
  </si>
  <si>
    <t>FOR THE FOURTH QUARTER ENDED 31 DECEMBER 2011</t>
  </si>
  <si>
    <t>31 December 2011</t>
  </si>
  <si>
    <t>AS AT 31 DECEMBER 2011</t>
  </si>
  <si>
    <t>Balance as at 31 December 2011</t>
  </si>
  <si>
    <t>Payment of intangible assets</t>
  </si>
  <si>
    <t>Interest received</t>
  </si>
  <si>
    <t>30 September 2011</t>
  </si>
  <si>
    <t>30 September 2010</t>
  </si>
  <si>
    <t>Issue of shares by subsidiary company to minority interests</t>
  </si>
  <si>
    <t>IP Rights</t>
  </si>
  <si>
    <t>Asset classified as held for sale</t>
  </si>
  <si>
    <t>Tax recoverable</t>
  </si>
  <si>
    <t>Other operating expenses</t>
  </si>
  <si>
    <t>- Interest Income</t>
  </si>
  <si>
    <t>- Investment Income</t>
  </si>
  <si>
    <t>- Others</t>
  </si>
  <si>
    <t>- Depreciation and amortization</t>
  </si>
  <si>
    <t>- Impairment of asset</t>
  </si>
  <si>
    <t>Notes</t>
  </si>
  <si>
    <t>Handal Offshore Services Sdn Bhd</t>
  </si>
  <si>
    <t>Handal Engineering Sdn Bhd</t>
  </si>
  <si>
    <t>Handscomms Sdn Bhd</t>
  </si>
  <si>
    <t>Realised loss on foreign exchange          </t>
  </si>
  <si>
    <t xml:space="preserve">Unrealised loss on foreign exchange       </t>
  </si>
  <si>
    <t>Realised gain on foreign exchange         </t>
  </si>
  <si>
    <t>Unrealised gain on foreign exchange    </t>
  </si>
  <si>
    <t>Total</t>
  </si>
  <si>
    <t>- Foreign exchange loss</t>
  </si>
  <si>
    <t xml:space="preserve">- Foreign exchange gain </t>
  </si>
  <si>
    <t>- Administration</t>
  </si>
  <si>
    <t>B10(a)</t>
  </si>
  <si>
    <t>B10(b)</t>
  </si>
  <si>
    <t>Note B10 (a)</t>
  </si>
  <si>
    <t>Note B10 (b)</t>
  </si>
</sst>
</file>

<file path=xl/styles.xml><?xml version="1.0" encoding="utf-8"?>
<styleSheet xmlns="http://schemas.openxmlformats.org/spreadsheetml/2006/main">
  <numFmts count="5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\ ???/???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"/>
    <numFmt numFmtId="175" formatCode="0_);\(0\)"/>
    <numFmt numFmtId="176" formatCode="00000"/>
    <numFmt numFmtId="177" formatCode="0.0"/>
    <numFmt numFmtId="178" formatCode="0.E+00"/>
    <numFmt numFmtId="179" formatCode="000\-00\-0000"/>
    <numFmt numFmtId="180" formatCode="_(* #,##0.0_);_(* \(#,##0.0\);_(* &quot;-&quot;_);_(@_)"/>
    <numFmt numFmtId="181" formatCode="_(* #,##0.00_);_(* \(#,##0.00\);_(* &quot;-&quot;_);_(@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00_);_(* \(#,##0.0000000\);_(* &quot;-&quot;_);_(@_)"/>
    <numFmt numFmtId="196" formatCode="_(* #,##0.00000000_);_(* \(#,##0.00000000\);_(* &quot;-&quot;_);_(@_)"/>
    <numFmt numFmtId="197" formatCode="_(* #,##0.000000000_);_(* \(#,##0.000000000\);_(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/mmm/yyyy;@"/>
    <numFmt numFmtId="204" formatCode="[$-409]h:mm:ss\ AM/PM"/>
    <numFmt numFmtId="205" formatCode="#,##0;[Red]#,##0"/>
  </numFmts>
  <fonts count="8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2" fontId="5" fillId="0" borderId="0" xfId="42" applyNumberFormat="1" applyFont="1" applyAlignment="1">
      <alignment horizontal="right" vertical="top" wrapText="1"/>
    </xf>
    <xf numFmtId="172" fontId="5" fillId="0" borderId="10" xfId="42" applyNumberFormat="1" applyFont="1" applyBorder="1" applyAlignment="1">
      <alignment horizontal="right" vertical="top" wrapText="1"/>
    </xf>
    <xf numFmtId="172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2" fontId="5" fillId="0" borderId="10" xfId="42" applyNumberFormat="1" applyFont="1" applyBorder="1" applyAlignment="1">
      <alignment vertical="top" wrapText="1"/>
    </xf>
    <xf numFmtId="172" fontId="5" fillId="0" borderId="12" xfId="42" applyNumberFormat="1" applyFont="1" applyBorder="1" applyAlignment="1">
      <alignment horizontal="right" vertical="top" wrapText="1"/>
    </xf>
    <xf numFmtId="172" fontId="5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 horizontal="right" vertical="top" wrapText="1"/>
    </xf>
    <xf numFmtId="172" fontId="0" fillId="0" borderId="10" xfId="42" applyNumberFormat="1" applyFont="1" applyBorder="1" applyAlignment="1">
      <alignment horizontal="right" vertical="top" wrapText="1"/>
    </xf>
    <xf numFmtId="172" fontId="0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 horizontal="right" vertical="top" wrapText="1"/>
    </xf>
    <xf numFmtId="172" fontId="5" fillId="0" borderId="13" xfId="42" applyNumberFormat="1" applyFont="1" applyBorder="1" applyAlignment="1">
      <alignment horizontal="right" vertical="top" wrapText="1"/>
    </xf>
    <xf numFmtId="172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3" fillId="0" borderId="0" xfId="0" applyFont="1" applyAlignment="1">
      <alignment vertical="top" wrapText="1"/>
    </xf>
    <xf numFmtId="0" fontId="73" fillId="0" borderId="0" xfId="0" applyFont="1" applyAlignment="1">
      <alignment horizontal="justify" vertical="top" wrapText="1"/>
    </xf>
    <xf numFmtId="0" fontId="73" fillId="0" borderId="0" xfId="0" applyFont="1" applyAlignment="1">
      <alignment horizontal="left" vertical="top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14" xfId="0" applyNumberFormat="1" applyFont="1" applyBorder="1" applyAlignment="1">
      <alignment/>
    </xf>
    <xf numFmtId="0" fontId="75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72" fontId="4" fillId="0" borderId="0" xfId="42" applyNumberFormat="1" applyFont="1" applyAlignment="1">
      <alignment horizontal="right" vertical="top" wrapText="1"/>
    </xf>
    <xf numFmtId="172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2" fontId="5" fillId="0" borderId="0" xfId="42" applyNumberFormat="1" applyFont="1" applyAlignment="1">
      <alignment horizontal="center" vertical="center"/>
    </xf>
    <xf numFmtId="172" fontId="4" fillId="0" borderId="14" xfId="42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42" applyNumberFormat="1" applyFont="1" applyAlignment="1">
      <alignment/>
    </xf>
    <xf numFmtId="172" fontId="5" fillId="0" borderId="0" xfId="0" applyNumberFormat="1" applyFont="1" applyAlignment="1">
      <alignment/>
    </xf>
    <xf numFmtId="0" fontId="77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72" fontId="4" fillId="0" borderId="0" xfId="42" applyNumberFormat="1" applyFont="1" applyAlignment="1">
      <alignment horizontal="center" vertical="center"/>
    </xf>
    <xf numFmtId="172" fontId="4" fillId="0" borderId="12" xfId="42" applyNumberFormat="1" applyFont="1" applyBorder="1" applyAlignment="1">
      <alignment horizontal="right" vertical="top" wrapText="1"/>
    </xf>
    <xf numFmtId="172" fontId="4" fillId="0" borderId="0" xfId="42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0" fontId="5" fillId="33" borderId="0" xfId="0" applyFont="1" applyFill="1" applyAlignment="1">
      <alignment/>
    </xf>
    <xf numFmtId="172" fontId="6" fillId="34" borderId="0" xfId="42" applyNumberFormat="1" applyFont="1" applyFill="1" applyAlignment="1">
      <alignment/>
    </xf>
    <xf numFmtId="172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5" fillId="0" borderId="10" xfId="42" applyNumberFormat="1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172" fontId="5" fillId="0" borderId="0" xfId="42" applyNumberFormat="1" applyFont="1" applyAlignment="1" quotePrefix="1">
      <alignment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9" fontId="5" fillId="0" borderId="0" xfId="60" applyFont="1" applyAlignment="1">
      <alignment/>
    </xf>
    <xf numFmtId="0" fontId="54" fillId="0" borderId="0" xfId="57">
      <alignment/>
      <protection/>
    </xf>
    <xf numFmtId="0" fontId="81" fillId="0" borderId="0" xfId="57" applyFont="1">
      <alignment/>
      <protection/>
    </xf>
    <xf numFmtId="0" fontId="81" fillId="0" borderId="0" xfId="57" applyFont="1" applyAlignment="1">
      <alignment horizontal="right" vertical="top" wrapText="1"/>
      <protection/>
    </xf>
    <xf numFmtId="0" fontId="79" fillId="0" borderId="0" xfId="57" applyFont="1" applyAlignment="1">
      <alignment horizontal="right" vertical="top" wrapText="1"/>
      <protection/>
    </xf>
    <xf numFmtId="0" fontId="82" fillId="0" borderId="0" xfId="57" applyFont="1" applyAlignment="1">
      <alignment wrapText="1"/>
      <protection/>
    </xf>
    <xf numFmtId="0" fontId="79" fillId="0" borderId="0" xfId="57" applyFont="1">
      <alignment/>
      <protection/>
    </xf>
    <xf numFmtId="0" fontId="81" fillId="0" borderId="0" xfId="57" applyFont="1" applyAlignment="1">
      <alignment vertical="top" wrapText="1"/>
      <protection/>
    </xf>
    <xf numFmtId="0" fontId="79" fillId="0" borderId="0" xfId="57" applyFont="1" applyAlignment="1">
      <alignment vertical="top" wrapText="1"/>
      <protection/>
    </xf>
    <xf numFmtId="3" fontId="79" fillId="0" borderId="0" xfId="57" applyNumberFormat="1" applyFont="1" applyAlignment="1">
      <alignment horizontal="right" vertical="top" wrapText="1"/>
      <protection/>
    </xf>
    <xf numFmtId="3" fontId="79" fillId="0" borderId="10" xfId="57" applyNumberFormat="1" applyFont="1" applyBorder="1" applyAlignment="1">
      <alignment horizontal="right" vertical="top" wrapText="1"/>
      <protection/>
    </xf>
    <xf numFmtId="3" fontId="79" fillId="0" borderId="12" xfId="57" applyNumberFormat="1" applyFont="1" applyBorder="1" applyAlignment="1">
      <alignment horizontal="right" vertical="top" wrapText="1"/>
      <protection/>
    </xf>
    <xf numFmtId="0" fontId="82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72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72" fontId="4" fillId="0" borderId="0" xfId="42" applyNumberFormat="1" applyFont="1" applyBorder="1" applyAlignment="1">
      <alignment vertical="top" wrapText="1"/>
    </xf>
    <xf numFmtId="172" fontId="5" fillId="0" borderId="0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72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172" fontId="5" fillId="0" borderId="0" xfId="42" applyNumberFormat="1" applyFont="1" applyFill="1" applyAlignment="1">
      <alignment horizontal="right" vertical="top" wrapText="1"/>
    </xf>
    <xf numFmtId="172" fontId="5" fillId="0" borderId="11" xfId="42" applyNumberFormat="1" applyFont="1" applyFill="1" applyBorder="1" applyAlignment="1">
      <alignment horizontal="right" vertical="top" wrapText="1"/>
    </xf>
    <xf numFmtId="172" fontId="4" fillId="0" borderId="0" xfId="42" applyNumberFormat="1" applyFont="1" applyFill="1" applyAlignment="1">
      <alignment horizontal="right" vertical="top" wrapText="1"/>
    </xf>
    <xf numFmtId="172" fontId="5" fillId="0" borderId="1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horizontal="right" vertical="top" wrapText="1"/>
    </xf>
    <xf numFmtId="172" fontId="5" fillId="0" borderId="0" xfId="42" applyNumberFormat="1" applyFont="1" applyFill="1" applyAlignment="1">
      <alignment/>
    </xf>
    <xf numFmtId="172" fontId="5" fillId="0" borderId="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vertical="top" wrapText="1"/>
    </xf>
    <xf numFmtId="172" fontId="4" fillId="0" borderId="12" xfId="42" applyNumberFormat="1" applyFont="1" applyFill="1" applyBorder="1" applyAlignment="1">
      <alignment horizontal="right" vertical="top" wrapText="1"/>
    </xf>
    <xf numFmtId="172" fontId="5" fillId="0" borderId="10" xfId="42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83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205" fontId="5" fillId="0" borderId="0" xfId="42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72" fontId="5" fillId="0" borderId="0" xfId="42" applyNumberFormat="1" applyFont="1" applyFill="1" applyAlignment="1">
      <alignment horizontal="center" vertical="center"/>
    </xf>
    <xf numFmtId="172" fontId="4" fillId="0" borderId="14" xfId="42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172" fontId="4" fillId="0" borderId="0" xfId="42" applyNumberFormat="1" applyFont="1" applyFill="1" applyAlignment="1">
      <alignment horizontal="center" vertical="center"/>
    </xf>
    <xf numFmtId="0" fontId="84" fillId="0" borderId="0" xfId="0" applyFont="1" applyAlignment="1">
      <alignment vertical="top"/>
    </xf>
    <xf numFmtId="37" fontId="5" fillId="0" borderId="0" xfId="0" applyNumberFormat="1" applyFont="1" applyFill="1" applyAlignment="1">
      <alignment horizontal="right" vertical="top" wrapText="1"/>
    </xf>
    <xf numFmtId="41" fontId="14" fillId="0" borderId="10" xfId="0" applyNumberFormat="1" applyFont="1" applyBorder="1" applyAlignment="1">
      <alignment horizontal="right"/>
    </xf>
    <xf numFmtId="43" fontId="14" fillId="0" borderId="0" xfId="0" applyNumberFormat="1" applyFont="1" applyAlignment="1">
      <alignment/>
    </xf>
    <xf numFmtId="172" fontId="14" fillId="0" borderId="0" xfId="42" applyNumberFormat="1" applyFont="1" applyBorder="1" applyAlignment="1">
      <alignment horizontal="right"/>
    </xf>
    <xf numFmtId="0" fontId="1" fillId="0" borderId="0" xfId="0" applyFont="1" applyAlignment="1" quotePrefix="1">
      <alignment/>
    </xf>
    <xf numFmtId="41" fontId="5" fillId="0" borderId="0" xfId="42" applyNumberFormat="1" applyFont="1" applyBorder="1" applyAlignment="1">
      <alignment horizontal="right"/>
    </xf>
    <xf numFmtId="41" fontId="5" fillId="0" borderId="13" xfId="42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13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1" fontId="0" fillId="0" borderId="21" xfId="0" applyNumberFormat="1" applyBorder="1" applyAlignment="1">
      <alignment/>
    </xf>
    <xf numFmtId="41" fontId="0" fillId="0" borderId="22" xfId="0" applyNumberFormat="1" applyFont="1" applyBorder="1" applyAlignment="1">
      <alignment/>
    </xf>
    <xf numFmtId="0" fontId="24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justify" vertical="top" wrapText="1"/>
    </xf>
    <xf numFmtId="0" fontId="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HRB\rina\Q4%20Yr2011-circular%20reports\HRB%20Gp.BS,PL,Cashflow%20Q4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HRB\rina\Q4%20Yr2011-circular%20reports\HRB%20Consol%20%201211%20-Announc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HRB\rina\Q4%20Yr2011-circular%20reports\HRB%20Gp.BS,PL,Cashflow%20Q1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HRB\rina\CONSOL\2011\HRB%20Sept%2011\HRB%20perf09.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HRB\rina\Q4%20Yr2011-circular%20reports\HRB%20Gp.BS,PL,Cashflow%20Q3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HRB\rina\CONSOL\2011\HRB%20Sept%2011\HRB%20Consol%20%200911-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HRB\rina\CONSOL\2011\HRB%20Dec%2011\HRB%20perf09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11"/>
      <sheetName val="CBS12.10(RM)"/>
      <sheetName val="CBS12.10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8">
          <cell r="W8">
            <v>4938</v>
          </cell>
        </row>
        <row r="20">
          <cell r="X20">
            <v>4416.92085</v>
          </cell>
        </row>
        <row r="24">
          <cell r="W24">
            <v>857.4757900000005</v>
          </cell>
        </row>
        <row r="25">
          <cell r="W25">
            <v>-8489.619</v>
          </cell>
        </row>
        <row r="26">
          <cell r="W26">
            <v>-2515.199209999998</v>
          </cell>
        </row>
        <row r="27">
          <cell r="W27">
            <v>7791.15222</v>
          </cell>
        </row>
        <row r="28">
          <cell r="W28">
            <v>-288.27785000000034</v>
          </cell>
        </row>
        <row r="32">
          <cell r="W32">
            <v>1765.6553300000005</v>
          </cell>
        </row>
        <row r="33">
          <cell r="W33">
            <v>-3256.989</v>
          </cell>
        </row>
        <row r="34">
          <cell r="W34">
            <v>6628.657219999999</v>
          </cell>
        </row>
        <row r="41">
          <cell r="W41">
            <v>-308.78288000000003</v>
          </cell>
        </row>
        <row r="42">
          <cell r="W42">
            <v>-1675.7958800000001</v>
          </cell>
        </row>
        <row r="43">
          <cell r="W43">
            <v>-2779</v>
          </cell>
        </row>
        <row r="49">
          <cell r="W49">
            <v>286.88693</v>
          </cell>
        </row>
        <row r="50">
          <cell r="W50">
            <v>603</v>
          </cell>
        </row>
        <row r="53">
          <cell r="W53">
            <v>-636.8870800000001</v>
          </cell>
        </row>
        <row r="54">
          <cell r="W54">
            <v>-33043.320999999996</v>
          </cell>
        </row>
        <row r="60">
          <cell r="W60">
            <v>787</v>
          </cell>
        </row>
        <row r="61">
          <cell r="W61">
            <v>-16.97849</v>
          </cell>
        </row>
        <row r="62">
          <cell r="W62">
            <v>-1217.75761</v>
          </cell>
        </row>
        <row r="63">
          <cell r="W63">
            <v>-50.29178999999998</v>
          </cell>
        </row>
        <row r="64">
          <cell r="W64">
            <v>12198</v>
          </cell>
        </row>
        <row r="67">
          <cell r="W67">
            <v>-4800</v>
          </cell>
        </row>
        <row r="83">
          <cell r="W83">
            <v>25556</v>
          </cell>
        </row>
        <row r="84">
          <cell r="W84">
            <v>12512</v>
          </cell>
        </row>
        <row r="85">
          <cell r="W85">
            <v>12251</v>
          </cell>
        </row>
        <row r="86">
          <cell r="W86">
            <v>-4842</v>
          </cell>
        </row>
        <row r="88">
          <cell r="W88">
            <v>-12512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2">
        <row r="12">
          <cell r="T12">
            <v>83521.47378</v>
          </cell>
        </row>
        <row r="13">
          <cell r="T13">
            <v>-53898.97923</v>
          </cell>
        </row>
        <row r="16">
          <cell r="T16">
            <v>1253.0080300000002</v>
          </cell>
        </row>
        <row r="18">
          <cell r="T18">
            <v>-18102.530619999998</v>
          </cell>
        </row>
        <row r="19">
          <cell r="T19">
            <v>-3062.89701</v>
          </cell>
        </row>
        <row r="20">
          <cell r="T20">
            <v>-2873.7487600000004</v>
          </cell>
        </row>
        <row r="25">
          <cell r="T25">
            <v>-2136.8258899999996</v>
          </cell>
        </row>
        <row r="27">
          <cell r="T27">
            <v>-1697.3009200000001</v>
          </cell>
        </row>
        <row r="29">
          <cell r="T29">
            <v>25.803949000000003</v>
          </cell>
        </row>
        <row r="67">
          <cell r="T67">
            <v>48800.168920000004</v>
          </cell>
        </row>
        <row r="68">
          <cell r="T68">
            <v>2423</v>
          </cell>
        </row>
        <row r="69">
          <cell r="T69">
            <v>11958.692</v>
          </cell>
        </row>
        <row r="74">
          <cell r="T74">
            <v>373.96898999999996</v>
          </cell>
        </row>
        <row r="78">
          <cell r="T78">
            <v>5000</v>
          </cell>
        </row>
        <row r="79">
          <cell r="T79">
            <v>6219.49379</v>
          </cell>
        </row>
        <row r="80">
          <cell r="T80">
            <v>10003.50287</v>
          </cell>
        </row>
        <row r="81">
          <cell r="T81">
            <v>5621.927360000001</v>
          </cell>
        </row>
        <row r="82">
          <cell r="T82">
            <v>25560.36479</v>
          </cell>
        </row>
        <row r="84">
          <cell r="T84">
            <v>1723.7665699999995</v>
          </cell>
        </row>
        <row r="85">
          <cell r="T85">
            <v>1262.71577</v>
          </cell>
        </row>
        <row r="86">
          <cell r="T86">
            <v>38068.12326</v>
          </cell>
        </row>
        <row r="87">
          <cell r="T87">
            <v>12249.66474</v>
          </cell>
        </row>
        <row r="102">
          <cell r="T102">
            <v>79999.99999999999</v>
          </cell>
        </row>
        <row r="104">
          <cell r="T104">
            <v>269.93694</v>
          </cell>
        </row>
        <row r="105">
          <cell r="T105">
            <v>18613.450109000005</v>
          </cell>
        </row>
        <row r="108">
          <cell r="T108">
            <v>7</v>
          </cell>
        </row>
        <row r="113">
          <cell r="T113">
            <v>128</v>
          </cell>
        </row>
        <row r="114">
          <cell r="T114">
            <v>37169.94286</v>
          </cell>
        </row>
        <row r="115">
          <cell r="T115">
            <v>1696.1</v>
          </cell>
        </row>
        <row r="118">
          <cell r="T118">
            <v>0</v>
          </cell>
        </row>
        <row r="119">
          <cell r="T119">
            <v>12360.027329999999</v>
          </cell>
        </row>
        <row r="120">
          <cell r="T120">
            <v>9652.447219999998</v>
          </cell>
        </row>
        <row r="121">
          <cell r="T121">
            <v>167.49721</v>
          </cell>
        </row>
        <row r="122">
          <cell r="T122">
            <v>10868.99003</v>
          </cell>
        </row>
        <row r="123">
          <cell r="T123">
            <v>-1667.45956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7">
          <cell r="N97">
            <v>1549.57636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2">
          <cell r="U52">
            <v>-6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3.11"/>
      <sheetName val="CBS12.10(RM)"/>
      <sheetName val="CBS12.10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76">
          <cell r="U76">
            <v>20570.722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CPL.09"/>
      <sheetName val="P &amp; L.HOSSB"/>
      <sheetName val="Bal Sheet.HOSSB"/>
      <sheetName val="cashflow.Gp"/>
      <sheetName val="cashflow state HOSSB"/>
      <sheetName val="BS.hossb.0911"/>
      <sheetName val="IPO.Sept11."/>
      <sheetName val="IPO .det.0911"/>
      <sheetName val="RI"/>
      <sheetName val="Sheet5"/>
      <sheetName val="Segment P &amp; L"/>
      <sheetName val="Sheet2"/>
      <sheetName val="segm rep."/>
      <sheetName val="related party.qTR"/>
      <sheetName val="mandate rpt"/>
      <sheetName val="taxation"/>
      <sheetName val="Gp financial result"/>
      <sheetName val="pre &amp; post acq profit"/>
      <sheetName val="borrow.debt security"/>
      <sheetName val="Gross int income"/>
      <sheetName val="P &amp; l.Sept11"/>
      <sheetName val="EPS"/>
      <sheetName val="segm p &amp;l .jun09Adj"/>
      <sheetName val="segm p &amp;l .2 mths"/>
      <sheetName val="weighted avr share"/>
      <sheetName val="EPS."/>
      <sheetName val="seg p &amp;l.11"/>
      <sheetName val="seg p&amp;l.10"/>
      <sheetName val="Sheet1"/>
      <sheetName val="P &amp; L.JAN09"/>
      <sheetName val="Sheet4"/>
      <sheetName val="Sheet3"/>
    </sheetNames>
    <sheetDataSet>
      <sheetData sheetId="27">
        <row r="46">
          <cell r="O46">
            <v>135128205.12820512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09.11"/>
      <sheetName val="CBS12.10(RM)"/>
      <sheetName val="CBS12.10"/>
      <sheetName val="BS VAR CO"/>
      <sheetName val="BS.VAR"/>
      <sheetName val="Sheet1"/>
      <sheetName val="PPE"/>
      <sheetName val="cashflow."/>
      <sheetName val="Sheet2"/>
      <sheetName val="HRB"/>
      <sheetName val="HOSSB"/>
      <sheetName val="HESB"/>
      <sheetName val="HCSB"/>
      <sheetName val="Handrill"/>
      <sheetName val="consol"/>
      <sheetName val="Sheet7"/>
    </sheetNames>
    <sheetDataSet>
      <sheetData sheetId="9">
        <row r="65">
          <cell r="U65">
            <v>31200</v>
          </cell>
        </row>
        <row r="70">
          <cell r="U7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sample work.GW"/>
      <sheetName val="9Dis or acq of subsi"/>
      <sheetName val="Amt due to contractors"/>
      <sheetName val="10Stmt of gain on disposal su"/>
      <sheetName val="Sheet1"/>
    </sheetNames>
    <sheetDataSet>
      <sheetData sheetId="2">
        <row r="12">
          <cell r="Q12">
            <v>61601.03842</v>
          </cell>
        </row>
        <row r="13">
          <cell r="Q13">
            <v>-35320.63202</v>
          </cell>
        </row>
        <row r="16">
          <cell r="Q16">
            <v>881.64099</v>
          </cell>
        </row>
        <row r="18">
          <cell r="Q18">
            <v>-12078.73472</v>
          </cell>
        </row>
        <row r="19">
          <cell r="Q19">
            <v>-2581.2111999999997</v>
          </cell>
        </row>
        <row r="20">
          <cell r="Q20">
            <v>-2973.7166699999993</v>
          </cell>
        </row>
        <row r="25">
          <cell r="Q25">
            <v>-1474.4633499999998</v>
          </cell>
        </row>
        <row r="27">
          <cell r="Q27">
            <v>-1973.23923</v>
          </cell>
        </row>
        <row r="29">
          <cell r="Q29">
            <v>46.810050000000004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CPL.09"/>
      <sheetName val="P &amp; L.HOSSB"/>
      <sheetName val="Bal Sheet.HOSSB"/>
      <sheetName val="cashflow.Gp"/>
      <sheetName val="cashflow state HOSSB"/>
      <sheetName val="BS.hossb.1211"/>
      <sheetName val="IPO.1211."/>
      <sheetName val="IPO .det.1211"/>
      <sheetName val="RI"/>
      <sheetName val="Sheet5"/>
      <sheetName val="Segment P &amp; L"/>
      <sheetName val="Sheet2"/>
      <sheetName val="segm rep."/>
      <sheetName val="related party.qTR"/>
      <sheetName val="mandate rpt"/>
      <sheetName val="taxation"/>
      <sheetName val="Gp financial result"/>
      <sheetName val="pre &amp; post acq profit"/>
      <sheetName val="borrow.debt security"/>
      <sheetName val="Gross int income"/>
      <sheetName val="P &amp; l.1211"/>
      <sheetName val="EPS"/>
      <sheetName val="segm p &amp;l .jun09Adj"/>
      <sheetName val="segm p &amp;l .2 mths"/>
      <sheetName val="weighted avr share"/>
      <sheetName val="EPS."/>
      <sheetName val="seg p &amp;l.11"/>
      <sheetName val="seg p&amp;l.10"/>
      <sheetName val="Sheet1"/>
      <sheetName val="P &amp; L.JAN09"/>
      <sheetName val="Sheet4"/>
    </sheetNames>
    <sheetDataSet>
      <sheetData sheetId="27">
        <row r="68">
          <cell r="O68">
            <v>158218181.8181818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zoomScalePageLayoutView="0" workbookViewId="0" topLeftCell="A1">
      <pane xSplit="2" ySplit="13" topLeftCell="C2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13" sqref="B13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3.140625" style="0" hidden="1" customWidth="1"/>
    <col min="4" max="5" width="20.7109375" style="0" hidden="1" customWidth="1"/>
    <col min="6" max="6" width="3.7109375" style="0" hidden="1" customWidth="1"/>
    <col min="7" max="7" width="19.8515625" style="0" customWidth="1"/>
    <col min="8" max="8" width="20.140625" style="0" customWidth="1"/>
    <col min="9" max="9" width="3.7109375" style="0" customWidth="1"/>
    <col min="10" max="11" width="22.140625" style="0" customWidth="1"/>
    <col min="12" max="12" width="4.140625" style="0" customWidth="1"/>
    <col min="13" max="13" width="16.57421875" style="0" customWidth="1"/>
    <col min="14" max="14" width="5.8515625" style="0" hidden="1" customWidth="1"/>
    <col min="15" max="15" width="5.7109375" style="0" hidden="1" customWidth="1"/>
    <col min="16" max="16" width="17.28125" style="0" hidden="1" customWidth="1"/>
    <col min="17" max="22" width="9.140625" style="0" hidden="1" customWidth="1"/>
  </cols>
  <sheetData>
    <row r="1" ht="20.25">
      <c r="B1" s="6" t="s">
        <v>123</v>
      </c>
    </row>
    <row r="2" ht="12.75">
      <c r="B2" s="2"/>
    </row>
    <row r="3" s="51" customFormat="1" ht="15">
      <c r="B3" s="16" t="s">
        <v>218</v>
      </c>
    </row>
    <row r="4" spans="2:12" s="51" customFormat="1" ht="15">
      <c r="B4" s="16" t="s">
        <v>260</v>
      </c>
      <c r="L4" s="85"/>
    </row>
    <row r="5" spans="2:12" s="51" customFormat="1" ht="15">
      <c r="B5" s="86"/>
      <c r="L5" s="85"/>
    </row>
    <row r="6" spans="2:12" s="51" customFormat="1" ht="21" thickBot="1">
      <c r="B6" s="16"/>
      <c r="C6" s="178"/>
      <c r="D6" s="178"/>
      <c r="E6" s="178"/>
      <c r="J6" s="122"/>
      <c r="K6" s="178"/>
      <c r="L6" s="85"/>
    </row>
    <row r="7" spans="3:12" s="51" customFormat="1" ht="15.75" thickBot="1">
      <c r="C7" s="171"/>
      <c r="D7" s="251" t="s">
        <v>85</v>
      </c>
      <c r="E7" s="252"/>
      <c r="G7" s="251" t="s">
        <v>85</v>
      </c>
      <c r="H7" s="252"/>
      <c r="J7" s="251" t="s">
        <v>125</v>
      </c>
      <c r="K7" s="252"/>
      <c r="L7" s="60"/>
    </row>
    <row r="8" spans="3:12" s="51" customFormat="1" ht="12.75" customHeight="1">
      <c r="C8" s="56"/>
      <c r="D8" s="248" t="s">
        <v>237</v>
      </c>
      <c r="E8" s="248" t="s">
        <v>233</v>
      </c>
      <c r="F8" s="55"/>
      <c r="G8" s="248" t="s">
        <v>139</v>
      </c>
      <c r="H8" s="248" t="s">
        <v>233</v>
      </c>
      <c r="I8" s="55"/>
      <c r="J8" s="248" t="s">
        <v>237</v>
      </c>
      <c r="K8" s="248" t="s">
        <v>232</v>
      </c>
      <c r="L8" s="60"/>
    </row>
    <row r="9" spans="4:12" s="51" customFormat="1" ht="15">
      <c r="D9" s="249"/>
      <c r="E9" s="250"/>
      <c r="F9" s="55"/>
      <c r="G9" s="249"/>
      <c r="H9" s="250"/>
      <c r="I9" s="55"/>
      <c r="J9" s="249"/>
      <c r="K9" s="250"/>
      <c r="L9" s="60"/>
    </row>
    <row r="10" spans="4:12" s="51" customFormat="1" ht="15">
      <c r="D10" s="249"/>
      <c r="E10" s="250"/>
      <c r="F10" s="55"/>
      <c r="G10" s="249"/>
      <c r="H10" s="250"/>
      <c r="I10" s="55"/>
      <c r="J10" s="249"/>
      <c r="K10" s="250"/>
      <c r="L10" s="60"/>
    </row>
    <row r="11" spans="4:12" s="51" customFormat="1" ht="31.5" customHeight="1">
      <c r="D11" s="249"/>
      <c r="E11" s="250"/>
      <c r="F11" s="55"/>
      <c r="G11" s="249"/>
      <c r="H11" s="250"/>
      <c r="I11" s="55"/>
      <c r="J11" s="249"/>
      <c r="K11" s="250"/>
      <c r="L11" s="60"/>
    </row>
    <row r="12" spans="3:16" s="51" customFormat="1" ht="15">
      <c r="C12" s="57"/>
      <c r="D12" s="57" t="s">
        <v>266</v>
      </c>
      <c r="E12" s="57" t="s">
        <v>267</v>
      </c>
      <c r="F12" s="58"/>
      <c r="G12" s="57" t="s">
        <v>261</v>
      </c>
      <c r="H12" s="57" t="s">
        <v>236</v>
      </c>
      <c r="I12" s="58"/>
      <c r="J12" s="57" t="s">
        <v>261</v>
      </c>
      <c r="K12" s="57" t="s">
        <v>236</v>
      </c>
      <c r="L12" s="60"/>
      <c r="P12" s="128" t="s">
        <v>140</v>
      </c>
    </row>
    <row r="13" spans="3:16" s="51" customFormat="1" ht="15">
      <c r="C13" s="58"/>
      <c r="D13" s="58" t="s">
        <v>0</v>
      </c>
      <c r="E13" s="58" t="s">
        <v>0</v>
      </c>
      <c r="F13" s="58"/>
      <c r="G13" s="58" t="s">
        <v>0</v>
      </c>
      <c r="H13" s="58" t="s">
        <v>0</v>
      </c>
      <c r="I13" s="58"/>
      <c r="J13" s="58" t="s">
        <v>0</v>
      </c>
      <c r="K13" s="58" t="s">
        <v>0</v>
      </c>
      <c r="L13" s="60"/>
      <c r="P13" s="102" t="s">
        <v>0</v>
      </c>
    </row>
    <row r="14" spans="3:16" s="51" customFormat="1" ht="15">
      <c r="C14" s="58"/>
      <c r="E14" s="58"/>
      <c r="F14" s="58"/>
      <c r="G14" s="58"/>
      <c r="H14" s="58"/>
      <c r="I14" s="58"/>
      <c r="K14" s="58"/>
      <c r="P14" s="102"/>
    </row>
    <row r="15" spans="2:16" s="51" customFormat="1" ht="15">
      <c r="B15" s="16" t="s">
        <v>1</v>
      </c>
      <c r="C15" s="129"/>
      <c r="D15" s="129">
        <f>'[8]1conso-YTD'!$Q$12</f>
        <v>61601.03842</v>
      </c>
      <c r="E15" s="129">
        <v>70743</v>
      </c>
      <c r="F15" s="59"/>
      <c r="G15" s="129">
        <f>J15-D15</f>
        <v>21920.435360000003</v>
      </c>
      <c r="H15" s="129">
        <f>K15-E15</f>
        <v>28040</v>
      </c>
      <c r="I15" s="59"/>
      <c r="J15" s="129">
        <f>'[11]1conso-YTD'!$T$12</f>
        <v>83521.47378</v>
      </c>
      <c r="K15" s="129">
        <f>98783</f>
        <v>98783</v>
      </c>
      <c r="L15" s="60"/>
      <c r="P15" s="102">
        <v>23670.793759999993</v>
      </c>
    </row>
    <row r="16" spans="3:16" s="51" customFormat="1" ht="14.25">
      <c r="C16" s="129"/>
      <c r="D16" s="129"/>
      <c r="E16" s="129"/>
      <c r="F16" s="59"/>
      <c r="G16" s="129"/>
      <c r="H16" s="129"/>
      <c r="I16" s="59"/>
      <c r="J16" s="129"/>
      <c r="K16" s="129"/>
      <c r="L16" s="60"/>
      <c r="P16" s="102"/>
    </row>
    <row r="17" spans="2:16" s="51" customFormat="1" ht="14.25">
      <c r="B17" s="51" t="s">
        <v>31</v>
      </c>
      <c r="C17" s="129"/>
      <c r="D17" s="129">
        <f>'[8]1conso-YTD'!$Q$13</f>
        <v>-35320.63202</v>
      </c>
      <c r="E17" s="129">
        <v>-38234</v>
      </c>
      <c r="F17" s="59"/>
      <c r="G17" s="129">
        <f>J17-D17</f>
        <v>-18579.34721</v>
      </c>
      <c r="H17" s="129">
        <f>-17958</f>
        <v>-17958</v>
      </c>
      <c r="I17" s="59"/>
      <c r="J17" s="129">
        <f>'[11]1conso-YTD'!$T$13-1</f>
        <v>-53899.97923</v>
      </c>
      <c r="K17" s="129">
        <v>-59486</v>
      </c>
      <c r="L17" s="60"/>
      <c r="P17" s="102">
        <v>-11784.867779999999</v>
      </c>
    </row>
    <row r="18" spans="2:16" s="51" customFormat="1" ht="14.25">
      <c r="B18" s="60"/>
      <c r="C18" s="176"/>
      <c r="D18" s="133"/>
      <c r="E18" s="172"/>
      <c r="F18" s="59"/>
      <c r="G18" s="172"/>
      <c r="H18" s="172"/>
      <c r="I18" s="59"/>
      <c r="J18" s="133"/>
      <c r="K18" s="172"/>
      <c r="L18" s="60"/>
      <c r="P18" s="102"/>
    </row>
    <row r="19" spans="2:18" s="51" customFormat="1" ht="15">
      <c r="B19" s="61" t="s">
        <v>32</v>
      </c>
      <c r="C19" s="129"/>
      <c r="D19" s="129">
        <f>+D15+D17</f>
        <v>26280.4064</v>
      </c>
      <c r="E19" s="129">
        <f>SUM(E15:E18)</f>
        <v>32509</v>
      </c>
      <c r="F19" s="59"/>
      <c r="G19" s="129">
        <f>SUM(G15:G18)</f>
        <v>3341.088150000003</v>
      </c>
      <c r="H19" s="129">
        <f>SUM(H15:H18)</f>
        <v>10082</v>
      </c>
      <c r="I19" s="59"/>
      <c r="J19" s="129">
        <f>+J15+J17</f>
        <v>29621.494550000003</v>
      </c>
      <c r="K19" s="215">
        <f>SUM(K15:K17)</f>
        <v>39297</v>
      </c>
      <c r="L19" s="60"/>
      <c r="N19" s="137" t="e">
        <f>#REF!/#REF!</f>
        <v>#REF!</v>
      </c>
      <c r="O19" s="137">
        <f>J19/J15</f>
        <v>0.3546572301636414</v>
      </c>
      <c r="P19" s="102">
        <v>11885.925979999995</v>
      </c>
      <c r="R19" s="61" t="s">
        <v>32</v>
      </c>
    </row>
    <row r="20" spans="3:16" s="51" customFormat="1" ht="14.25">
      <c r="C20" s="132"/>
      <c r="D20" s="132"/>
      <c r="E20" s="132"/>
      <c r="F20" s="59"/>
      <c r="G20" s="132"/>
      <c r="H20" s="132"/>
      <c r="I20" s="59"/>
      <c r="J20" s="132"/>
      <c r="K20" s="132"/>
      <c r="L20" s="60"/>
      <c r="P20" s="102"/>
    </row>
    <row r="21" spans="2:18" s="51" customFormat="1" ht="12.75" customHeight="1">
      <c r="B21" s="51" t="s">
        <v>50</v>
      </c>
      <c r="C21" s="129"/>
      <c r="D21" s="129">
        <f>'[8]1conso-YTD'!$Q$16</f>
        <v>881.64099</v>
      </c>
      <c r="E21" s="129">
        <v>1474</v>
      </c>
      <c r="F21" s="59"/>
      <c r="G21" s="129">
        <f>J21-D21</f>
        <v>371.3670400000002</v>
      </c>
      <c r="H21" s="129">
        <f>K21-E21</f>
        <v>561</v>
      </c>
      <c r="I21" s="59"/>
      <c r="J21" s="129">
        <f>'[11]1conso-YTD'!$T$16</f>
        <v>1253.0080300000002</v>
      </c>
      <c r="K21" s="129">
        <v>2035</v>
      </c>
      <c r="L21" s="87"/>
      <c r="P21" s="102">
        <v>1358.941480000004</v>
      </c>
      <c r="R21" s="51" t="s">
        <v>50</v>
      </c>
    </row>
    <row r="22" spans="3:16" s="51" customFormat="1" ht="12.75" customHeight="1">
      <c r="C22" s="129"/>
      <c r="D22" s="129"/>
      <c r="E22" s="129"/>
      <c r="F22" s="59"/>
      <c r="G22" s="132"/>
      <c r="H22" s="129"/>
      <c r="I22" s="59"/>
      <c r="J22" s="129"/>
      <c r="K22" s="129"/>
      <c r="L22" s="87"/>
      <c r="P22" s="102"/>
    </row>
    <row r="23" spans="2:18" s="51" customFormat="1" ht="12.75" customHeight="1">
      <c r="B23" s="51" t="s">
        <v>137</v>
      </c>
      <c r="C23" s="129"/>
      <c r="D23" s="129">
        <f>'[8]1conso-YTD'!$Q$18+'[8]1conso-YTD'!$Q$19</f>
        <v>-14659.94592</v>
      </c>
      <c r="E23" s="129">
        <v>-13650</v>
      </c>
      <c r="F23" s="59"/>
      <c r="G23" s="129">
        <f>J23-D23+1100</f>
        <v>-5405.481709999998</v>
      </c>
      <c r="H23" s="129">
        <f>-3763</f>
        <v>-3763</v>
      </c>
      <c r="I23" s="59"/>
      <c r="J23" s="129">
        <f>'[11]1conso-YTD'!$T$18+'[11]1conso-YTD'!$T$19</f>
        <v>-21165.42763</v>
      </c>
      <c r="K23" s="129">
        <v>-14940</v>
      </c>
      <c r="L23" s="87"/>
      <c r="P23" s="102">
        <v>-4046.5124700000015</v>
      </c>
      <c r="R23" s="51" t="s">
        <v>137</v>
      </c>
    </row>
    <row r="24" spans="3:16" s="51" customFormat="1" ht="12.75" customHeight="1">
      <c r="C24" s="132"/>
      <c r="D24" s="129"/>
      <c r="E24" s="132"/>
      <c r="F24" s="59"/>
      <c r="G24" s="132"/>
      <c r="H24" s="132"/>
      <c r="I24" s="59"/>
      <c r="J24" s="129"/>
      <c r="K24" s="129"/>
      <c r="L24" s="87"/>
      <c r="P24" s="102"/>
    </row>
    <row r="25" spans="2:18" s="51" customFormat="1" ht="12.75" customHeight="1">
      <c r="B25" s="51" t="s">
        <v>136</v>
      </c>
      <c r="C25" s="129"/>
      <c r="D25" s="129">
        <f>'[8]1conso-YTD'!$Q$20</f>
        <v>-2973.7166699999993</v>
      </c>
      <c r="E25" s="129">
        <v>-2674</v>
      </c>
      <c r="F25" s="59"/>
      <c r="G25" s="129">
        <f>J25-D25-1100</f>
        <v>-1000.0320900000011</v>
      </c>
      <c r="H25" s="129">
        <f>K25-E25</f>
        <v>-1106</v>
      </c>
      <c r="I25" s="59"/>
      <c r="J25" s="129">
        <f>'[11]1conso-YTD'!$T$20</f>
        <v>-2873.7487600000004</v>
      </c>
      <c r="K25" s="129">
        <v>-3780</v>
      </c>
      <c r="L25" s="87"/>
      <c r="P25" s="102">
        <v>-681.92669</v>
      </c>
      <c r="R25" s="51" t="s">
        <v>136</v>
      </c>
    </row>
    <row r="26" spans="2:18" s="51" customFormat="1" ht="14.25">
      <c r="B26" s="64"/>
      <c r="C26" s="129"/>
      <c r="D26" s="129"/>
      <c r="E26" s="129"/>
      <c r="F26" s="59"/>
      <c r="G26" s="132"/>
      <c r="H26" s="129"/>
      <c r="I26" s="59"/>
      <c r="J26" s="129"/>
      <c r="K26" s="129"/>
      <c r="L26" s="60"/>
      <c r="P26" s="102"/>
      <c r="R26" s="64"/>
    </row>
    <row r="27" spans="2:18" s="51" customFormat="1" ht="14.25">
      <c r="B27" s="51" t="s">
        <v>51</v>
      </c>
      <c r="C27" s="129"/>
      <c r="D27" s="129">
        <f>'[8]1conso-YTD'!$Q$25</f>
        <v>-1474.4633499999998</v>
      </c>
      <c r="E27" s="129">
        <v>-1853</v>
      </c>
      <c r="F27" s="63"/>
      <c r="G27" s="129">
        <f>J27-D27</f>
        <v>-662.3625399999999</v>
      </c>
      <c r="H27" s="129">
        <f>-411</f>
        <v>-411</v>
      </c>
      <c r="I27" s="63"/>
      <c r="J27" s="129">
        <f>'[11]1conso-YTD'!$T$25</f>
        <v>-2136.8258899999996</v>
      </c>
      <c r="K27" s="129">
        <v>-2200</v>
      </c>
      <c r="L27" s="60"/>
      <c r="P27" s="102">
        <v>-937.79819</v>
      </c>
      <c r="R27" s="51" t="s">
        <v>51</v>
      </c>
    </row>
    <row r="28" spans="3:16" s="51" customFormat="1" ht="14.25">
      <c r="C28" s="132"/>
      <c r="D28" s="133"/>
      <c r="E28" s="133"/>
      <c r="F28" s="59"/>
      <c r="G28" s="133"/>
      <c r="H28" s="133"/>
      <c r="I28" s="59"/>
      <c r="J28" s="133"/>
      <c r="K28" s="133"/>
      <c r="L28" s="87"/>
      <c r="P28" s="102"/>
    </row>
    <row r="29" spans="2:19" s="51" customFormat="1" ht="15">
      <c r="B29" s="16" t="s">
        <v>128</v>
      </c>
      <c r="C29" s="129"/>
      <c r="D29" s="129">
        <f>SUM(D19:D27)</f>
        <v>8053.92145</v>
      </c>
      <c r="E29" s="129">
        <f>SUM(E19:E28)</f>
        <v>15806</v>
      </c>
      <c r="F29" s="59"/>
      <c r="G29" s="129">
        <f>SUM(G19:G28)</f>
        <v>-3355.4211499999956</v>
      </c>
      <c r="H29" s="129">
        <f>SUM(H19:H28)</f>
        <v>5363</v>
      </c>
      <c r="I29" s="59"/>
      <c r="J29" s="129">
        <f>SUM(J19:J27)-1</f>
        <v>4697.500300000005</v>
      </c>
      <c r="K29" s="129">
        <f>SUM(K19:K28)</f>
        <v>20412</v>
      </c>
      <c r="L29" s="60"/>
      <c r="N29" s="137" t="e">
        <f>#REF!/#REF!</f>
        <v>#REF!</v>
      </c>
      <c r="O29" s="137">
        <f>J29/J15</f>
        <v>0.056243024546878455</v>
      </c>
      <c r="P29" s="102">
        <v>7577.630109999996</v>
      </c>
      <c r="R29" s="16" t="s">
        <v>128</v>
      </c>
      <c r="S29" s="115"/>
    </row>
    <row r="30" spans="3:16" s="51" customFormat="1" ht="14.25">
      <c r="C30" s="129"/>
      <c r="D30" s="129"/>
      <c r="E30" s="129"/>
      <c r="F30" s="59"/>
      <c r="G30" s="129"/>
      <c r="H30" s="129"/>
      <c r="I30" s="59"/>
      <c r="J30" s="129"/>
      <c r="K30" s="129"/>
      <c r="L30" s="60"/>
      <c r="P30" s="102"/>
    </row>
    <row r="31" spans="2:18" s="51" customFormat="1" ht="14.25">
      <c r="B31" s="51" t="s">
        <v>33</v>
      </c>
      <c r="C31" s="129"/>
      <c r="D31" s="129">
        <f>'[8]1conso-YTD'!$Q$27</f>
        <v>-1973.23923</v>
      </c>
      <c r="E31" s="129">
        <v>-3414</v>
      </c>
      <c r="F31" s="59"/>
      <c r="G31" s="129">
        <f>J31-D31</f>
        <v>275.9383099999998</v>
      </c>
      <c r="H31" s="129">
        <f>-1562</f>
        <v>-1562</v>
      </c>
      <c r="I31" s="59"/>
      <c r="J31" s="129">
        <f>'[11]1conso-YTD'!$T$27</f>
        <v>-1697.3009200000001</v>
      </c>
      <c r="K31" s="129">
        <v>-4798</v>
      </c>
      <c r="L31" s="60"/>
      <c r="P31" s="102">
        <v>-1821.0964013993403</v>
      </c>
      <c r="R31" s="51" t="s">
        <v>33</v>
      </c>
    </row>
    <row r="32" spans="3:16" s="51" customFormat="1" ht="14.25">
      <c r="C32" s="132"/>
      <c r="D32" s="133"/>
      <c r="E32" s="132"/>
      <c r="F32" s="59"/>
      <c r="G32" s="132"/>
      <c r="H32" s="132"/>
      <c r="I32" s="59"/>
      <c r="J32" s="133"/>
      <c r="K32" s="133"/>
      <c r="L32" s="87"/>
      <c r="P32" s="102"/>
    </row>
    <row r="33" spans="2:18" s="51" customFormat="1" ht="15.75" thickBot="1">
      <c r="B33" s="16" t="s">
        <v>129</v>
      </c>
      <c r="C33" s="132"/>
      <c r="D33" s="130">
        <f>SUM(D29:D32)</f>
        <v>6080.68222</v>
      </c>
      <c r="E33" s="130">
        <f>SUM(E29:E32)</f>
        <v>12392</v>
      </c>
      <c r="F33" s="59"/>
      <c r="G33" s="130">
        <f>SUM(G29:G32)</f>
        <v>-3079.482839999996</v>
      </c>
      <c r="H33" s="130">
        <f>SUM(H29:H32)</f>
        <v>3801</v>
      </c>
      <c r="I33" s="59"/>
      <c r="J33" s="130">
        <f>SUM(J29:J32)+1</f>
        <v>3001.199380000005</v>
      </c>
      <c r="K33" s="130">
        <f>SUM(K29:K32)</f>
        <v>15614</v>
      </c>
      <c r="L33" s="60"/>
      <c r="N33" s="137" t="e">
        <f>#REF!/#REF!</f>
        <v>#REF!</v>
      </c>
      <c r="O33" s="137">
        <f>J33/J15</f>
        <v>0.03593326655017276</v>
      </c>
      <c r="P33" s="102">
        <v>5756.533708600657</v>
      </c>
      <c r="R33" s="16" t="s">
        <v>129</v>
      </c>
    </row>
    <row r="34" spans="2:18" s="51" customFormat="1" ht="15.75" thickTop="1">
      <c r="B34" s="16"/>
      <c r="C34" s="132"/>
      <c r="D34" s="132"/>
      <c r="E34" s="132"/>
      <c r="F34" s="59"/>
      <c r="G34" s="132"/>
      <c r="H34" s="132"/>
      <c r="I34" s="59"/>
      <c r="J34" s="132"/>
      <c r="K34" s="132"/>
      <c r="L34" s="60"/>
      <c r="N34" s="137"/>
      <c r="O34" s="137"/>
      <c r="P34" s="102"/>
      <c r="R34" s="16"/>
    </row>
    <row r="35" spans="2:18" s="51" customFormat="1" ht="15">
      <c r="B35" s="16" t="s">
        <v>219</v>
      </c>
      <c r="C35" s="185"/>
      <c r="D35" s="185">
        <v>0</v>
      </c>
      <c r="E35" s="185">
        <v>0</v>
      </c>
      <c r="F35" s="186"/>
      <c r="G35" s="185">
        <v>0</v>
      </c>
      <c r="H35" s="185">
        <v>0</v>
      </c>
      <c r="I35" s="186"/>
      <c r="J35" s="185">
        <v>0</v>
      </c>
      <c r="K35" s="185">
        <v>0</v>
      </c>
      <c r="L35" s="60"/>
      <c r="N35" s="137"/>
      <c r="O35" s="137"/>
      <c r="P35" s="102"/>
      <c r="R35" s="16"/>
    </row>
    <row r="36" spans="2:18" s="51" customFormat="1" ht="15">
      <c r="B36" s="16"/>
      <c r="C36" s="185"/>
      <c r="D36" s="185"/>
      <c r="E36" s="185"/>
      <c r="F36" s="186"/>
      <c r="G36" s="185"/>
      <c r="H36" s="185"/>
      <c r="I36" s="186"/>
      <c r="J36" s="185"/>
      <c r="K36" s="185"/>
      <c r="L36" s="60"/>
      <c r="N36" s="137"/>
      <c r="O36" s="137"/>
      <c r="P36" s="102"/>
      <c r="R36" s="16"/>
    </row>
    <row r="37" spans="2:18" s="51" customFormat="1" ht="15">
      <c r="B37" s="16" t="s">
        <v>220</v>
      </c>
      <c r="C37" s="185"/>
      <c r="D37" s="187">
        <f>SUM(D35:D36)</f>
        <v>0</v>
      </c>
      <c r="E37" s="187">
        <f>SUM(E35:E36)</f>
        <v>0</v>
      </c>
      <c r="F37" s="186"/>
      <c r="G37" s="187">
        <f>SUM(G35:G36)</f>
        <v>0</v>
      </c>
      <c r="H37" s="187">
        <f>SUM(H35:H36)</f>
        <v>0</v>
      </c>
      <c r="I37" s="186"/>
      <c r="J37" s="187">
        <f>SUM(J35:J36)</f>
        <v>0</v>
      </c>
      <c r="K37" s="187">
        <v>0</v>
      </c>
      <c r="L37" s="60"/>
      <c r="N37" s="137"/>
      <c r="O37" s="137"/>
      <c r="P37" s="102"/>
      <c r="R37" s="16"/>
    </row>
    <row r="38" spans="2:18" s="51" customFormat="1" ht="15">
      <c r="B38" s="16"/>
      <c r="C38" s="132"/>
      <c r="D38" s="132"/>
      <c r="E38" s="132"/>
      <c r="F38" s="59"/>
      <c r="G38" s="132"/>
      <c r="H38" s="132"/>
      <c r="I38" s="59"/>
      <c r="J38" s="132"/>
      <c r="K38" s="132"/>
      <c r="L38" s="60"/>
      <c r="N38" s="137"/>
      <c r="O38" s="137"/>
      <c r="P38" s="102"/>
      <c r="R38" s="16"/>
    </row>
    <row r="39" spans="2:18" s="51" customFormat="1" ht="15.75" thickBot="1">
      <c r="B39" s="16" t="s">
        <v>221</v>
      </c>
      <c r="C39" s="132"/>
      <c r="D39" s="134">
        <f>D33</f>
        <v>6080.68222</v>
      </c>
      <c r="E39" s="134">
        <f>E33</f>
        <v>12392</v>
      </c>
      <c r="F39" s="59"/>
      <c r="G39" s="134">
        <f>G33</f>
        <v>-3079.482839999996</v>
      </c>
      <c r="H39" s="134">
        <f>H33</f>
        <v>3801</v>
      </c>
      <c r="I39" s="59"/>
      <c r="J39" s="134">
        <f>J33</f>
        <v>3001.199380000005</v>
      </c>
      <c r="K39" s="134">
        <f>K33</f>
        <v>15614</v>
      </c>
      <c r="L39" s="60"/>
      <c r="N39" s="137"/>
      <c r="O39" s="137"/>
      <c r="P39" s="102"/>
      <c r="R39" s="16"/>
    </row>
    <row r="40" spans="2:18" s="51" customFormat="1" ht="15.75" thickTop="1">
      <c r="B40" s="16"/>
      <c r="C40" s="132"/>
      <c r="D40" s="132"/>
      <c r="E40" s="132"/>
      <c r="F40" s="59"/>
      <c r="G40" s="132"/>
      <c r="H40" s="132"/>
      <c r="I40" s="59"/>
      <c r="J40" s="132"/>
      <c r="K40" s="132"/>
      <c r="L40" s="60"/>
      <c r="N40" s="137"/>
      <c r="O40" s="137"/>
      <c r="P40" s="102"/>
      <c r="R40" s="16"/>
    </row>
    <row r="41" spans="2:18" s="51" customFormat="1" ht="15">
      <c r="B41" s="16" t="s">
        <v>229</v>
      </c>
      <c r="C41" s="132"/>
      <c r="D41" s="132"/>
      <c r="E41" s="132"/>
      <c r="F41" s="59"/>
      <c r="G41" s="132"/>
      <c r="H41" s="132"/>
      <c r="I41" s="59"/>
      <c r="J41" s="132"/>
      <c r="K41" s="132"/>
      <c r="L41" s="60"/>
      <c r="N41" s="137"/>
      <c r="O41" s="137"/>
      <c r="P41" s="102"/>
      <c r="R41" s="16"/>
    </row>
    <row r="42" spans="2:18" s="51" customFormat="1" ht="15">
      <c r="B42" s="16"/>
      <c r="C42" s="132"/>
      <c r="D42" s="132"/>
      <c r="E42" s="132"/>
      <c r="F42" s="59"/>
      <c r="G42" s="132"/>
      <c r="H42" s="132"/>
      <c r="I42" s="59"/>
      <c r="J42" s="132"/>
      <c r="K42" s="132"/>
      <c r="L42" s="60"/>
      <c r="N42" s="137"/>
      <c r="O42" s="137"/>
      <c r="P42" s="102"/>
      <c r="R42" s="16"/>
    </row>
    <row r="43" spans="2:18" s="51" customFormat="1" ht="15">
      <c r="B43" s="51" t="s">
        <v>230</v>
      </c>
      <c r="C43" s="132"/>
      <c r="D43" s="176">
        <v>6128</v>
      </c>
      <c r="E43" s="132">
        <v>12387</v>
      </c>
      <c r="F43" s="59"/>
      <c r="G43" s="129">
        <f>J43-D43+2</f>
        <v>-3099</v>
      </c>
      <c r="H43" s="129">
        <v>3802</v>
      </c>
      <c r="I43" s="62"/>
      <c r="J43" s="176">
        <v>3027</v>
      </c>
      <c r="K43" s="176">
        <v>15610</v>
      </c>
      <c r="L43" s="60"/>
      <c r="N43" s="137"/>
      <c r="O43" s="137"/>
      <c r="P43" s="102"/>
      <c r="R43" s="16"/>
    </row>
    <row r="44" spans="3:18" s="51" customFormat="1" ht="15">
      <c r="C44" s="132"/>
      <c r="D44" s="176"/>
      <c r="E44" s="132"/>
      <c r="F44" s="59"/>
      <c r="G44" s="176"/>
      <c r="H44" s="176"/>
      <c r="I44" s="62"/>
      <c r="J44" s="176"/>
      <c r="K44" s="176"/>
      <c r="L44" s="60"/>
      <c r="N44" s="137"/>
      <c r="O44" s="137"/>
      <c r="P44" s="102"/>
      <c r="R44" s="16"/>
    </row>
    <row r="45" spans="2:18" s="51" customFormat="1" ht="15">
      <c r="B45" s="51" t="s">
        <v>231</v>
      </c>
      <c r="C45" s="216"/>
      <c r="D45" s="215">
        <f>-'[8]1conso-YTD'!$Q$29</f>
        <v>-46.810050000000004</v>
      </c>
      <c r="E45" s="129">
        <v>5</v>
      </c>
      <c r="F45" s="59"/>
      <c r="G45" s="129">
        <f>J45-D45</f>
        <v>21.006101</v>
      </c>
      <c r="H45" s="129">
        <f>K45-E45</f>
        <v>-1</v>
      </c>
      <c r="I45" s="62"/>
      <c r="J45" s="215">
        <f>-'[11]1conso-YTD'!$T$29</f>
        <v>-25.803949000000003</v>
      </c>
      <c r="K45" s="215">
        <v>4</v>
      </c>
      <c r="L45" s="60"/>
      <c r="N45" s="137"/>
      <c r="O45" s="137"/>
      <c r="P45" s="102"/>
      <c r="R45" s="16"/>
    </row>
    <row r="46" spans="2:18" s="51" customFormat="1" ht="15">
      <c r="B46" s="16"/>
      <c r="C46" s="132"/>
      <c r="D46" s="176"/>
      <c r="E46" s="132"/>
      <c r="F46" s="59"/>
      <c r="G46" s="176"/>
      <c r="H46" s="176"/>
      <c r="I46" s="62"/>
      <c r="J46" s="176"/>
      <c r="K46" s="176"/>
      <c r="L46" s="60"/>
      <c r="N46" s="137"/>
      <c r="O46" s="137"/>
      <c r="P46" s="102"/>
      <c r="R46" s="16"/>
    </row>
    <row r="47" spans="2:18" s="51" customFormat="1" ht="15.75" thickBot="1">
      <c r="B47" s="51" t="s">
        <v>222</v>
      </c>
      <c r="C47" s="132"/>
      <c r="D47" s="218">
        <f>SUM(D43:D46)</f>
        <v>6081.18995</v>
      </c>
      <c r="E47" s="130">
        <f>SUM(E43:E46)</f>
        <v>12392</v>
      </c>
      <c r="F47" s="59"/>
      <c r="G47" s="218">
        <f>SUM(G43:G46)</f>
        <v>-3077.993899</v>
      </c>
      <c r="H47" s="218">
        <f>SUM(H43:H46)</f>
        <v>3801</v>
      </c>
      <c r="I47" s="62"/>
      <c r="J47" s="218">
        <f>SUM(J43:J46)</f>
        <v>3001.196051</v>
      </c>
      <c r="K47" s="218">
        <f>SUM(K43:K46)</f>
        <v>15614</v>
      </c>
      <c r="L47" s="60"/>
      <c r="N47" s="137"/>
      <c r="O47" s="137"/>
      <c r="P47" s="102"/>
      <c r="R47" s="16"/>
    </row>
    <row r="48" spans="2:18" s="51" customFormat="1" ht="15.75" thickTop="1">
      <c r="B48" s="51" t="s">
        <v>223</v>
      </c>
      <c r="C48" s="63"/>
      <c r="D48" s="176"/>
      <c r="E48" s="63"/>
      <c r="F48" s="59"/>
      <c r="G48" s="176"/>
      <c r="H48" s="219"/>
      <c r="I48" s="62"/>
      <c r="J48" s="176"/>
      <c r="K48" s="176"/>
      <c r="L48" s="60"/>
      <c r="N48" s="137"/>
      <c r="O48" s="137"/>
      <c r="P48" s="102"/>
      <c r="R48" s="16"/>
    </row>
    <row r="49" spans="2:18" s="51" customFormat="1" ht="15">
      <c r="B49" s="16"/>
      <c r="C49" s="63"/>
      <c r="D49" s="176"/>
      <c r="E49" s="63"/>
      <c r="F49" s="59"/>
      <c r="G49" s="176"/>
      <c r="H49" s="219"/>
      <c r="I49" s="62"/>
      <c r="J49" s="176"/>
      <c r="K49" s="176"/>
      <c r="L49" s="60"/>
      <c r="N49" s="137"/>
      <c r="O49" s="137"/>
      <c r="P49" s="102"/>
      <c r="R49" s="16"/>
    </row>
    <row r="50" spans="2:12" s="51" customFormat="1" ht="14.25">
      <c r="B50" s="54" t="s">
        <v>146</v>
      </c>
      <c r="C50" s="63"/>
      <c r="D50" s="219"/>
      <c r="E50" s="63"/>
      <c r="F50" s="59"/>
      <c r="G50" s="176"/>
      <c r="H50" s="219"/>
      <c r="I50" s="62"/>
      <c r="J50" s="219"/>
      <c r="K50" s="176"/>
      <c r="L50" s="87"/>
    </row>
    <row r="51" spans="2:12" s="51" customFormat="1" ht="14.25">
      <c r="B51" s="54" t="s">
        <v>147</v>
      </c>
      <c r="C51" s="215"/>
      <c r="D51" s="176">
        <f>'[6]weighted avr share'!$O$46/1000</f>
        <v>135128.20512820513</v>
      </c>
      <c r="E51" s="215">
        <v>90000</v>
      </c>
      <c r="F51" s="62"/>
      <c r="G51" s="215">
        <f>J51</f>
        <v>158218.18181818182</v>
      </c>
      <c r="H51" s="215">
        <v>90000</v>
      </c>
      <c r="I51" s="62"/>
      <c r="J51" s="176">
        <f>'[9]weighted avr share'!$O$68/1000</f>
        <v>158218.18181818182</v>
      </c>
      <c r="K51" s="215">
        <v>90000</v>
      </c>
      <c r="L51" s="87"/>
    </row>
    <row r="52" spans="2:12" s="51" customFormat="1" ht="14.25">
      <c r="B52" s="54"/>
      <c r="C52" s="176"/>
      <c r="D52" s="176"/>
      <c r="E52" s="176"/>
      <c r="F52" s="62"/>
      <c r="G52" s="176"/>
      <c r="H52" s="176"/>
      <c r="I52" s="62"/>
      <c r="J52" s="176"/>
      <c r="K52" s="176"/>
      <c r="L52" s="87"/>
    </row>
    <row r="53" spans="2:12" s="51" customFormat="1" ht="14.25">
      <c r="B53" s="51" t="s">
        <v>224</v>
      </c>
      <c r="C53" s="177"/>
      <c r="D53" s="177">
        <f>D43/D51*100</f>
        <v>4.534952561669829</v>
      </c>
      <c r="E53" s="177">
        <f>E43/E51*100</f>
        <v>13.763333333333334</v>
      </c>
      <c r="F53" s="62"/>
      <c r="G53" s="177">
        <f>G43/G51*100</f>
        <v>-1.9586876580096528</v>
      </c>
      <c r="H53" s="177">
        <f>H43/H51*100</f>
        <v>4.224444444444445</v>
      </c>
      <c r="I53" s="62"/>
      <c r="J53" s="177">
        <f>J43/J51*100</f>
        <v>1.91318087795909</v>
      </c>
      <c r="K53" s="177">
        <f>K43/K51*100</f>
        <v>17.344444444444445</v>
      </c>
      <c r="L53" s="60"/>
    </row>
    <row r="54" spans="11:12" s="51" customFormat="1" ht="14.25">
      <c r="K54" s="217"/>
      <c r="L54" s="60"/>
    </row>
    <row r="55" spans="3:12" s="51" customFormat="1" ht="14.25">
      <c r="C55" s="65"/>
      <c r="D55" s="65"/>
      <c r="E55" s="65"/>
      <c r="F55" s="65"/>
      <c r="G55" s="65"/>
      <c r="H55" s="65"/>
      <c r="I55" s="65"/>
      <c r="J55" s="65"/>
      <c r="K55" s="65"/>
      <c r="L55" s="60"/>
    </row>
    <row r="56" s="51" customFormat="1" ht="15">
      <c r="B56" s="66" t="s">
        <v>80</v>
      </c>
    </row>
    <row r="57" s="51" customFormat="1" ht="14.25">
      <c r="B57" s="51" t="s">
        <v>99</v>
      </c>
    </row>
    <row r="58" spans="1:2" s="51" customFormat="1" ht="18">
      <c r="A58" s="120" t="s">
        <v>126</v>
      </c>
      <c r="B58" s="119" t="s">
        <v>141</v>
      </c>
    </row>
    <row r="59" spans="1:2" s="51" customFormat="1" ht="18">
      <c r="A59" s="119"/>
      <c r="B59" s="121" t="s">
        <v>142</v>
      </c>
    </row>
    <row r="60" spans="1:2" s="51" customFormat="1" ht="11.25" customHeight="1">
      <c r="A60" s="119"/>
      <c r="B60" s="119"/>
    </row>
    <row r="61" spans="1:2" s="51" customFormat="1" ht="18">
      <c r="A61" s="118" t="s">
        <v>127</v>
      </c>
      <c r="B61" s="119" t="s">
        <v>225</v>
      </c>
    </row>
    <row r="62" spans="1:2" s="51" customFormat="1" ht="18">
      <c r="A62" s="119"/>
      <c r="B62" s="119" t="s">
        <v>247</v>
      </c>
    </row>
    <row r="63" spans="1:2" s="51" customFormat="1" ht="15.75" customHeight="1">
      <c r="A63" s="119"/>
      <c r="B63" s="119" t="s">
        <v>99</v>
      </c>
    </row>
    <row r="64" spans="1:2" s="51" customFormat="1" ht="15.75" customHeight="1">
      <c r="A64" s="118"/>
      <c r="B64" s="119"/>
    </row>
    <row r="65" spans="2:11" ht="16.5" customHeight="1">
      <c r="B65" s="119"/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2.75"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ht="12.75">
      <c r="K67" s="38"/>
    </row>
    <row r="94" spans="2:10" ht="12.75">
      <c r="B94" s="38"/>
      <c r="C94" s="38"/>
      <c r="D94" s="38"/>
      <c r="E94" s="38"/>
      <c r="F94" s="38"/>
      <c r="G94" s="38"/>
      <c r="H94" s="38"/>
      <c r="I94" s="38"/>
      <c r="J94" s="116">
        <f>'[2]weighted avr share'!$O$36/1000</f>
        <v>0</v>
      </c>
    </row>
  </sheetData>
  <sheetProtection/>
  <mergeCells count="9">
    <mergeCell ref="G8:G11"/>
    <mergeCell ref="H8:H11"/>
    <mergeCell ref="D8:D11"/>
    <mergeCell ref="E8:E11"/>
    <mergeCell ref="J7:K7"/>
    <mergeCell ref="J8:J11"/>
    <mergeCell ref="K8:K11"/>
    <mergeCell ref="D7:E7"/>
    <mergeCell ref="G7:H7"/>
  </mergeCells>
  <printOptions gridLines="1"/>
  <pageMargins left="0.22" right="0.17" top="0.17" bottom="0.16" header="0.17" footer="0.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9" t="s">
        <v>155</v>
      </c>
      <c r="C1" s="138"/>
      <c r="D1" s="138"/>
    </row>
    <row r="2" spans="2:4" ht="15">
      <c r="B2" s="139" t="s">
        <v>156</v>
      </c>
      <c r="C2" s="138"/>
      <c r="D2" s="138"/>
    </row>
    <row r="3" spans="2:4" ht="15">
      <c r="B3" s="144"/>
      <c r="C3" s="144"/>
      <c r="D3" s="140">
        <v>2009</v>
      </c>
    </row>
    <row r="4" spans="2:4" ht="15">
      <c r="B4" s="140"/>
      <c r="C4" s="144"/>
      <c r="D4" s="140" t="s">
        <v>157</v>
      </c>
    </row>
    <row r="5" spans="2:4" ht="15">
      <c r="B5" s="144"/>
      <c r="C5" s="144"/>
      <c r="D5" s="140"/>
    </row>
    <row r="6" spans="2:4" ht="15">
      <c r="B6" s="144" t="s">
        <v>34</v>
      </c>
      <c r="C6" s="144"/>
      <c r="D6" s="140"/>
    </row>
    <row r="7" spans="2:4" ht="15">
      <c r="B7" s="144" t="s">
        <v>35</v>
      </c>
      <c r="C7" s="145"/>
      <c r="D7" s="141"/>
    </row>
    <row r="8" spans="2:4" ht="14.25">
      <c r="B8" s="145" t="s">
        <v>112</v>
      </c>
      <c r="C8" s="145">
        <v>4</v>
      </c>
      <c r="D8" s="146">
        <v>27432609</v>
      </c>
    </row>
    <row r="9" spans="2:4" ht="14.25">
      <c r="B9" s="145" t="s">
        <v>158</v>
      </c>
      <c r="C9" s="145">
        <v>5</v>
      </c>
      <c r="D9" s="146">
        <v>2517123</v>
      </c>
    </row>
    <row r="10" spans="2:4" ht="15" thickBot="1">
      <c r="B10" s="145" t="s">
        <v>159</v>
      </c>
      <c r="C10" s="145">
        <v>6</v>
      </c>
      <c r="D10" s="147">
        <v>373969</v>
      </c>
    </row>
    <row r="11" spans="2:4" ht="15" thickBot="1">
      <c r="B11" s="145"/>
      <c r="C11" s="145"/>
      <c r="D11" s="147">
        <v>30323701</v>
      </c>
    </row>
    <row r="12" spans="2:4" ht="14.25">
      <c r="B12" s="145"/>
      <c r="C12" s="145"/>
      <c r="D12" s="141"/>
    </row>
    <row r="13" spans="2:4" ht="15">
      <c r="B13" s="144" t="s">
        <v>160</v>
      </c>
      <c r="C13" s="145"/>
      <c r="D13" s="141"/>
    </row>
    <row r="14" spans="2:4" ht="14.25">
      <c r="B14" s="145" t="s">
        <v>54</v>
      </c>
      <c r="C14" s="145"/>
      <c r="D14" s="146">
        <v>5552350</v>
      </c>
    </row>
    <row r="15" spans="2:4" ht="14.25">
      <c r="B15" s="145" t="s">
        <v>53</v>
      </c>
      <c r="C15" s="145"/>
      <c r="D15" s="146">
        <v>16242532</v>
      </c>
    </row>
    <row r="16" spans="2:4" ht="14.25">
      <c r="B16" s="145" t="s">
        <v>113</v>
      </c>
      <c r="C16" s="145">
        <v>7</v>
      </c>
      <c r="D16" s="146">
        <v>16697047</v>
      </c>
    </row>
    <row r="17" spans="2:4" ht="14.25">
      <c r="B17" s="145" t="s">
        <v>161</v>
      </c>
      <c r="C17" s="145">
        <v>8</v>
      </c>
      <c r="D17" s="146">
        <v>969346</v>
      </c>
    </row>
    <row r="18" spans="2:4" ht="14.25">
      <c r="B18" s="145" t="s">
        <v>162</v>
      </c>
      <c r="C18" s="145"/>
      <c r="D18" s="146">
        <v>641291</v>
      </c>
    </row>
    <row r="19" spans="2:4" ht="14.25">
      <c r="B19" s="145" t="s">
        <v>163</v>
      </c>
      <c r="C19" s="145">
        <v>9</v>
      </c>
      <c r="D19" s="146">
        <v>8538068</v>
      </c>
    </row>
    <row r="20" spans="2:4" ht="14.25">
      <c r="B20" s="145" t="s">
        <v>81</v>
      </c>
      <c r="C20" s="145">
        <v>10</v>
      </c>
      <c r="D20" s="146">
        <v>19711108</v>
      </c>
    </row>
    <row r="21" spans="2:4" ht="15" thickBot="1">
      <c r="B21" s="145" t="s">
        <v>164</v>
      </c>
      <c r="C21" s="145"/>
      <c r="D21" s="147">
        <v>3199333</v>
      </c>
    </row>
    <row r="22" spans="2:4" ht="15" thickBot="1">
      <c r="B22" s="145"/>
      <c r="C22" s="145"/>
      <c r="D22" s="147">
        <v>71551075</v>
      </c>
    </row>
    <row r="23" spans="2:4" ht="14.25">
      <c r="B23" s="145"/>
      <c r="C23" s="145"/>
      <c r="D23" s="141"/>
    </row>
    <row r="24" spans="2:4" ht="15.75" thickBot="1">
      <c r="B24" s="144" t="s">
        <v>165</v>
      </c>
      <c r="C24" s="145"/>
      <c r="D24" s="148">
        <v>101874776</v>
      </c>
    </row>
    <row r="25" spans="2:4" ht="15" thickTop="1">
      <c r="B25" s="145"/>
      <c r="C25" s="145"/>
      <c r="D25" s="141"/>
    </row>
    <row r="26" spans="2:4" ht="15">
      <c r="B26" s="144" t="s">
        <v>37</v>
      </c>
      <c r="C26" s="145"/>
      <c r="D26" s="141"/>
    </row>
    <row r="27" spans="2:4" ht="30">
      <c r="B27" s="144" t="s">
        <v>166</v>
      </c>
      <c r="C27" s="145"/>
      <c r="D27" s="141"/>
    </row>
    <row r="28" spans="2:4" ht="14.25">
      <c r="B28" s="145" t="s">
        <v>57</v>
      </c>
      <c r="C28" s="145">
        <v>11</v>
      </c>
      <c r="D28" s="146">
        <v>45000000</v>
      </c>
    </row>
    <row r="29" spans="2:4" ht="15" thickBot="1">
      <c r="B29" s="145" t="s">
        <v>115</v>
      </c>
      <c r="C29" s="145">
        <v>12</v>
      </c>
      <c r="D29" s="147">
        <v>11565078</v>
      </c>
    </row>
    <row r="30" spans="2:4" ht="15.75" thickBot="1">
      <c r="B30" s="144" t="s">
        <v>62</v>
      </c>
      <c r="C30" s="145"/>
      <c r="D30" s="147">
        <v>56565078</v>
      </c>
    </row>
    <row r="31" spans="2:4" ht="14.25">
      <c r="B31" s="145"/>
      <c r="C31" s="145"/>
      <c r="D31" s="141"/>
    </row>
    <row r="32" spans="2:4" ht="15">
      <c r="B32" s="144" t="s">
        <v>38</v>
      </c>
      <c r="C32" s="145"/>
      <c r="D32" s="141"/>
    </row>
    <row r="33" spans="2:4" ht="14.25">
      <c r="B33" s="145" t="s">
        <v>58</v>
      </c>
      <c r="C33" s="145">
        <v>13</v>
      </c>
      <c r="D33" s="146">
        <v>345789</v>
      </c>
    </row>
    <row r="34" spans="2:4" ht="14.25">
      <c r="B34" s="145" t="s">
        <v>167</v>
      </c>
      <c r="C34" s="145">
        <v>14</v>
      </c>
      <c r="D34" s="146">
        <v>16586846</v>
      </c>
    </row>
    <row r="35" spans="2:4" ht="15" thickBot="1">
      <c r="B35" s="145" t="s">
        <v>117</v>
      </c>
      <c r="C35" s="145">
        <v>15</v>
      </c>
      <c r="D35" s="147">
        <v>1143700</v>
      </c>
    </row>
    <row r="36" spans="2:4" ht="15" thickBot="1">
      <c r="B36" s="145"/>
      <c r="C36" s="145"/>
      <c r="D36" s="147">
        <v>18076335</v>
      </c>
    </row>
    <row r="37" spans="2:4" ht="14.25">
      <c r="B37" s="145"/>
      <c r="C37" s="145"/>
      <c r="D37" s="141"/>
    </row>
    <row r="38" spans="2:4" ht="15">
      <c r="B38" s="144" t="s">
        <v>168</v>
      </c>
      <c r="C38" s="145"/>
      <c r="D38" s="141"/>
    </row>
    <row r="39" spans="2:4" ht="14.25">
      <c r="B39" s="145" t="s">
        <v>169</v>
      </c>
      <c r="C39" s="145">
        <v>16</v>
      </c>
      <c r="D39" s="146">
        <v>8748757</v>
      </c>
    </row>
    <row r="40" spans="2:4" ht="14.25">
      <c r="B40" s="145" t="s">
        <v>118</v>
      </c>
      <c r="C40" s="145"/>
      <c r="D40" s="146">
        <v>2966428</v>
      </c>
    </row>
    <row r="41" spans="2:4" ht="14.25">
      <c r="B41" s="145" t="s">
        <v>58</v>
      </c>
      <c r="C41" s="145">
        <v>13</v>
      </c>
      <c r="D41" s="146">
        <v>127863</v>
      </c>
    </row>
    <row r="42" spans="2:4" ht="14.25">
      <c r="B42" s="145" t="s">
        <v>167</v>
      </c>
      <c r="C42" s="145">
        <v>14</v>
      </c>
      <c r="D42" s="146">
        <v>14173873</v>
      </c>
    </row>
    <row r="43" spans="2:4" ht="15" thickBot="1">
      <c r="B43" s="145" t="s">
        <v>170</v>
      </c>
      <c r="C43" s="145"/>
      <c r="D43" s="147">
        <v>1216442</v>
      </c>
    </row>
    <row r="44" spans="2:4" ht="15" thickBot="1">
      <c r="B44" s="145"/>
      <c r="C44" s="145"/>
      <c r="D44" s="147">
        <v>27233363</v>
      </c>
    </row>
    <row r="45" spans="2:4" ht="14.25">
      <c r="B45" s="145"/>
      <c r="C45" s="145"/>
      <c r="D45" s="141"/>
    </row>
    <row r="46" spans="2:4" ht="15.75" thickBot="1">
      <c r="B46" s="144" t="s">
        <v>171</v>
      </c>
      <c r="C46" s="145"/>
      <c r="D46" s="147">
        <v>45309698</v>
      </c>
    </row>
    <row r="47" spans="2:4" ht="15.75" thickBot="1">
      <c r="B47" s="144" t="s">
        <v>172</v>
      </c>
      <c r="C47" s="145"/>
      <c r="D47" s="148">
        <v>101874776</v>
      </c>
    </row>
    <row r="48" spans="2:4" ht="13.5" thickTop="1">
      <c r="B48" s="142"/>
      <c r="C48" s="142"/>
      <c r="D48" s="149"/>
    </row>
    <row r="49" ht="14.25">
      <c r="B49" s="14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PageLayoutView="0" workbookViewId="0" topLeftCell="A1">
      <selection activeCell="H46" sqref="H46"/>
    </sheetView>
  </sheetViews>
  <sheetFormatPr defaultColWidth="9.140625" defaultRowHeight="12.75"/>
  <cols>
    <col min="1" max="1" width="5.57421875" style="0" customWidth="1"/>
    <col min="2" max="2" width="42.00390625" style="0" customWidth="1"/>
    <col min="3" max="3" width="3.140625" style="0" hidden="1" customWidth="1"/>
    <col min="4" max="5" width="20.7109375" style="0" hidden="1" customWidth="1"/>
    <col min="6" max="6" width="3.7109375" style="0" hidden="1" customWidth="1"/>
    <col min="7" max="7" width="8.140625" style="0" customWidth="1"/>
    <col min="8" max="8" width="19.8515625" style="0" customWidth="1"/>
    <col min="9" max="9" width="20.140625" style="0" customWidth="1"/>
    <col min="10" max="10" width="3.7109375" style="0" customWidth="1"/>
    <col min="11" max="12" width="22.140625" style="0" customWidth="1"/>
    <col min="13" max="13" width="4.140625" style="0" customWidth="1"/>
    <col min="14" max="14" width="16.57421875" style="0" customWidth="1"/>
    <col min="15" max="15" width="5.8515625" style="0" hidden="1" customWidth="1"/>
    <col min="16" max="16" width="5.7109375" style="0" hidden="1" customWidth="1"/>
    <col min="17" max="17" width="17.28125" style="0" hidden="1" customWidth="1"/>
    <col min="18" max="23" width="9.140625" style="0" hidden="1" customWidth="1"/>
  </cols>
  <sheetData>
    <row r="1" ht="20.25">
      <c r="B1" s="6" t="s">
        <v>123</v>
      </c>
    </row>
    <row r="2" ht="12.75">
      <c r="B2" s="2"/>
    </row>
    <row r="3" s="51" customFormat="1" ht="15">
      <c r="B3" s="16" t="s">
        <v>218</v>
      </c>
    </row>
    <row r="4" spans="2:13" s="51" customFormat="1" ht="15">
      <c r="B4" s="16" t="s">
        <v>260</v>
      </c>
      <c r="M4" s="85"/>
    </row>
    <row r="5" spans="2:13" s="51" customFormat="1" ht="15">
      <c r="B5" s="86"/>
      <c r="M5" s="85"/>
    </row>
    <row r="6" spans="2:13" s="51" customFormat="1" ht="21" thickBot="1">
      <c r="B6" s="16"/>
      <c r="C6" s="178"/>
      <c r="D6" s="178"/>
      <c r="E6" s="178"/>
      <c r="K6" s="122"/>
      <c r="L6" s="178"/>
      <c r="M6" s="85"/>
    </row>
    <row r="7" spans="3:13" s="51" customFormat="1" ht="15.75" thickBot="1">
      <c r="C7" s="171"/>
      <c r="D7" s="251" t="s">
        <v>85</v>
      </c>
      <c r="E7" s="252"/>
      <c r="H7" s="251" t="s">
        <v>85</v>
      </c>
      <c r="I7" s="252"/>
      <c r="K7" s="251" t="s">
        <v>125</v>
      </c>
      <c r="L7" s="252"/>
      <c r="M7" s="60"/>
    </row>
    <row r="8" spans="3:13" s="51" customFormat="1" ht="12.75" customHeight="1">
      <c r="C8" s="56"/>
      <c r="D8" s="248" t="s">
        <v>237</v>
      </c>
      <c r="E8" s="248" t="s">
        <v>233</v>
      </c>
      <c r="F8" s="55"/>
      <c r="G8" s="55"/>
      <c r="H8" s="248" t="s">
        <v>139</v>
      </c>
      <c r="I8" s="248" t="s">
        <v>233</v>
      </c>
      <c r="J8" s="55"/>
      <c r="K8" s="248" t="s">
        <v>237</v>
      </c>
      <c r="L8" s="248" t="s">
        <v>232</v>
      </c>
      <c r="M8" s="60"/>
    </row>
    <row r="9" spans="4:13" s="51" customFormat="1" ht="15">
      <c r="D9" s="249"/>
      <c r="E9" s="250"/>
      <c r="F9" s="55"/>
      <c r="G9" s="55"/>
      <c r="H9" s="249"/>
      <c r="I9" s="250"/>
      <c r="J9" s="55"/>
      <c r="K9" s="249"/>
      <c r="L9" s="250"/>
      <c r="M9" s="60"/>
    </row>
    <row r="10" spans="4:13" s="51" customFormat="1" ht="15">
      <c r="D10" s="249"/>
      <c r="E10" s="250"/>
      <c r="F10" s="55"/>
      <c r="G10" s="55"/>
      <c r="H10" s="249"/>
      <c r="I10" s="250"/>
      <c r="J10" s="55"/>
      <c r="K10" s="249"/>
      <c r="L10" s="250"/>
      <c r="M10" s="60"/>
    </row>
    <row r="11" spans="4:13" s="51" customFormat="1" ht="31.5" customHeight="1">
      <c r="D11" s="249"/>
      <c r="E11" s="250"/>
      <c r="F11" s="55"/>
      <c r="G11" s="55"/>
      <c r="H11" s="249"/>
      <c r="I11" s="250"/>
      <c r="J11" s="55"/>
      <c r="K11" s="249"/>
      <c r="L11" s="250"/>
      <c r="M11" s="60"/>
    </row>
    <row r="12" spans="3:17" s="51" customFormat="1" ht="15">
      <c r="C12" s="57"/>
      <c r="D12" s="57" t="s">
        <v>266</v>
      </c>
      <c r="E12" s="57" t="s">
        <v>267</v>
      </c>
      <c r="F12" s="58"/>
      <c r="G12" s="58"/>
      <c r="H12" s="57" t="s">
        <v>261</v>
      </c>
      <c r="I12" s="57" t="s">
        <v>236</v>
      </c>
      <c r="J12" s="58"/>
      <c r="K12" s="57" t="s">
        <v>261</v>
      </c>
      <c r="L12" s="57" t="s">
        <v>236</v>
      </c>
      <c r="M12" s="60"/>
      <c r="Q12" s="128" t="s">
        <v>140</v>
      </c>
    </row>
    <row r="13" spans="3:17" s="51" customFormat="1" ht="15">
      <c r="C13" s="58"/>
      <c r="D13" s="58" t="s">
        <v>0</v>
      </c>
      <c r="E13" s="58" t="s">
        <v>0</v>
      </c>
      <c r="F13" s="58"/>
      <c r="G13" s="58"/>
      <c r="H13" s="58" t="s">
        <v>0</v>
      </c>
      <c r="I13" s="58" t="s">
        <v>0</v>
      </c>
      <c r="J13" s="58"/>
      <c r="K13" s="58" t="s">
        <v>0</v>
      </c>
      <c r="L13" s="58" t="s">
        <v>0</v>
      </c>
      <c r="M13" s="60"/>
      <c r="Q13" s="102" t="s">
        <v>0</v>
      </c>
    </row>
    <row r="14" spans="3:17" s="51" customFormat="1" ht="15">
      <c r="C14" s="58"/>
      <c r="E14" s="58"/>
      <c r="F14" s="58"/>
      <c r="G14" s="58" t="s">
        <v>278</v>
      </c>
      <c r="H14" s="58"/>
      <c r="I14" s="58"/>
      <c r="J14" s="58"/>
      <c r="L14" s="58"/>
      <c r="Q14" s="102"/>
    </row>
    <row r="15" spans="2:17" s="51" customFormat="1" ht="15">
      <c r="B15" s="16" t="s">
        <v>1</v>
      </c>
      <c r="C15" s="129"/>
      <c r="D15" s="129">
        <f>'[8]1conso-YTD'!$Q$12</f>
        <v>61601.03842</v>
      </c>
      <c r="E15" s="129">
        <v>70743</v>
      </c>
      <c r="F15" s="59"/>
      <c r="G15" s="59"/>
      <c r="H15" s="129">
        <f>K15-D15</f>
        <v>21920.435360000003</v>
      </c>
      <c r="I15" s="129">
        <f>L15-E15</f>
        <v>28040</v>
      </c>
      <c r="J15" s="59"/>
      <c r="K15" s="129">
        <f>'[11]1conso-YTD'!$T$12</f>
        <v>83521.47378</v>
      </c>
      <c r="L15" s="129">
        <f>98783</f>
        <v>98783</v>
      </c>
      <c r="M15" s="60"/>
      <c r="Q15" s="102">
        <v>23670.793759999993</v>
      </c>
    </row>
    <row r="16" spans="3:17" s="51" customFormat="1" ht="14.25">
      <c r="C16" s="129"/>
      <c r="D16" s="129"/>
      <c r="E16" s="129"/>
      <c r="F16" s="59"/>
      <c r="G16" s="59"/>
      <c r="H16" s="129"/>
      <c r="I16" s="129"/>
      <c r="J16" s="59"/>
      <c r="K16" s="129"/>
      <c r="L16" s="129"/>
      <c r="M16" s="60"/>
      <c r="Q16" s="102"/>
    </row>
    <row r="17" spans="2:17" s="51" customFormat="1" ht="14.25">
      <c r="B17" s="51" t="s">
        <v>31</v>
      </c>
      <c r="C17" s="129"/>
      <c r="D17" s="129">
        <f>'[8]1conso-YTD'!$Q$13</f>
        <v>-35320.63202</v>
      </c>
      <c r="E17" s="129">
        <v>-38234</v>
      </c>
      <c r="F17" s="59"/>
      <c r="G17" s="59"/>
      <c r="H17" s="129">
        <f>K17-D17</f>
        <v>-18579.34721</v>
      </c>
      <c r="I17" s="129">
        <f>-17958</f>
        <v>-17958</v>
      </c>
      <c r="J17" s="59"/>
      <c r="K17" s="129">
        <f>'[11]1conso-YTD'!$T$13-1</f>
        <v>-53899.97923</v>
      </c>
      <c r="L17" s="129">
        <v>-59486</v>
      </c>
      <c r="M17" s="60"/>
      <c r="Q17" s="102">
        <v>-11784.867779999999</v>
      </c>
    </row>
    <row r="18" spans="2:17" s="51" customFormat="1" ht="14.25">
      <c r="B18" s="60"/>
      <c r="C18" s="176"/>
      <c r="D18" s="133"/>
      <c r="E18" s="172"/>
      <c r="F18" s="59"/>
      <c r="G18" s="59"/>
      <c r="H18" s="172"/>
      <c r="I18" s="172"/>
      <c r="J18" s="59"/>
      <c r="K18" s="133"/>
      <c r="L18" s="172"/>
      <c r="M18" s="60"/>
      <c r="Q18" s="102"/>
    </row>
    <row r="19" spans="2:19" s="51" customFormat="1" ht="15">
      <c r="B19" s="61" t="s">
        <v>32</v>
      </c>
      <c r="C19" s="129"/>
      <c r="D19" s="129">
        <f>+D15+D17</f>
        <v>26280.4064</v>
      </c>
      <c r="E19" s="129">
        <f>SUM(E15:E18)</f>
        <v>32509</v>
      </c>
      <c r="F19" s="59"/>
      <c r="G19" s="59"/>
      <c r="H19" s="129">
        <f>SUM(H15:H18)</f>
        <v>3341.088150000003</v>
      </c>
      <c r="I19" s="129">
        <f>SUM(I15:I18)</f>
        <v>10082</v>
      </c>
      <c r="J19" s="59"/>
      <c r="K19" s="129">
        <f>+K15+K17</f>
        <v>29621.494550000003</v>
      </c>
      <c r="L19" s="215">
        <f>SUM(L15:L17)</f>
        <v>39297</v>
      </c>
      <c r="M19" s="60"/>
      <c r="O19" s="137" t="e">
        <f>#REF!/#REF!</f>
        <v>#REF!</v>
      </c>
      <c r="P19" s="137">
        <f>K19/K15</f>
        <v>0.3546572301636414</v>
      </c>
      <c r="Q19" s="102">
        <v>11885.925979999995</v>
      </c>
      <c r="S19" s="61" t="s">
        <v>32</v>
      </c>
    </row>
    <row r="20" spans="3:17" s="51" customFormat="1" ht="14.25">
      <c r="C20" s="132"/>
      <c r="D20" s="132"/>
      <c r="E20" s="132"/>
      <c r="F20" s="59"/>
      <c r="G20" s="59"/>
      <c r="H20" s="132"/>
      <c r="I20" s="132"/>
      <c r="J20" s="59"/>
      <c r="K20" s="132"/>
      <c r="L20" s="132"/>
      <c r="M20" s="60"/>
      <c r="Q20" s="102"/>
    </row>
    <row r="21" spans="2:19" s="51" customFormat="1" ht="12.75" customHeight="1">
      <c r="B21" s="51" t="s">
        <v>50</v>
      </c>
      <c r="C21" s="129"/>
      <c r="D21" s="129">
        <f>'[8]1conso-YTD'!$Q$16</f>
        <v>881.64099</v>
      </c>
      <c r="E21" s="129">
        <v>1474</v>
      </c>
      <c r="F21" s="59"/>
      <c r="G21" s="59" t="s">
        <v>290</v>
      </c>
      <c r="H21" s="129">
        <v>371.3670400000002</v>
      </c>
      <c r="I21" s="129">
        <v>561</v>
      </c>
      <c r="J21" s="59"/>
      <c r="K21" s="129">
        <v>1253.0080300000002</v>
      </c>
      <c r="L21" s="129">
        <v>2035</v>
      </c>
      <c r="M21" s="87"/>
      <c r="Q21" s="102">
        <v>1358.941480000004</v>
      </c>
      <c r="S21" s="51" t="s">
        <v>50</v>
      </c>
    </row>
    <row r="22" spans="3:17" s="51" customFormat="1" ht="12.75" customHeight="1">
      <c r="C22" s="129"/>
      <c r="D22" s="129"/>
      <c r="E22" s="129"/>
      <c r="F22" s="59"/>
      <c r="G22" s="59"/>
      <c r="H22" s="132"/>
      <c r="I22" s="129"/>
      <c r="J22" s="59"/>
      <c r="K22" s="129"/>
      <c r="L22" s="129"/>
      <c r="M22" s="87"/>
      <c r="Q22" s="102"/>
    </row>
    <row r="23" spans="2:19" s="51" customFormat="1" ht="12.75" customHeight="1">
      <c r="B23" s="51" t="s">
        <v>272</v>
      </c>
      <c r="C23" s="129"/>
      <c r="D23" s="129">
        <f>'[8]1conso-YTD'!$Q$18+'[8]1conso-YTD'!$Q$19</f>
        <v>-14659.94592</v>
      </c>
      <c r="E23" s="129">
        <v>-13650</v>
      </c>
      <c r="F23" s="59"/>
      <c r="G23" s="59" t="s">
        <v>291</v>
      </c>
      <c r="H23" s="129">
        <v>-6404.532090000001</v>
      </c>
      <c r="I23" s="129">
        <v>-4869</v>
      </c>
      <c r="J23" s="59"/>
      <c r="K23" s="129">
        <v>-24039.17639</v>
      </c>
      <c r="L23" s="129">
        <v>-18720</v>
      </c>
      <c r="M23" s="87"/>
      <c r="Q23" s="102">
        <v>-4046.5124700000015</v>
      </c>
      <c r="S23" s="51" t="s">
        <v>137</v>
      </c>
    </row>
    <row r="24" spans="3:17" s="51" customFormat="1" ht="12.75" customHeight="1">
      <c r="C24" s="132"/>
      <c r="D24" s="129"/>
      <c r="E24" s="132"/>
      <c r="F24" s="59"/>
      <c r="G24" s="59"/>
      <c r="H24" s="132"/>
      <c r="I24" s="132"/>
      <c r="J24" s="59"/>
      <c r="K24" s="129"/>
      <c r="L24" s="129"/>
      <c r="M24" s="87"/>
      <c r="Q24" s="102"/>
    </row>
    <row r="25" spans="2:19" s="51" customFormat="1" ht="14.25">
      <c r="B25" s="51" t="s">
        <v>51</v>
      </c>
      <c r="C25" s="129"/>
      <c r="D25" s="129">
        <f>'[8]1conso-YTD'!$Q$25</f>
        <v>-1474.4633499999998</v>
      </c>
      <c r="E25" s="129">
        <v>-1853</v>
      </c>
      <c r="F25" s="63"/>
      <c r="G25" s="63"/>
      <c r="H25" s="129">
        <f>K25-D25-1</f>
        <v>-663.3625399999999</v>
      </c>
      <c r="I25" s="129">
        <f>-411</f>
        <v>-411</v>
      </c>
      <c r="J25" s="63"/>
      <c r="K25" s="129">
        <f>'[11]1conso-YTD'!$T$25</f>
        <v>-2136.8258899999996</v>
      </c>
      <c r="L25" s="129">
        <v>-2200</v>
      </c>
      <c r="M25" s="60"/>
      <c r="Q25" s="102">
        <v>-937.79819</v>
      </c>
      <c r="S25" s="51" t="s">
        <v>51</v>
      </c>
    </row>
    <row r="26" spans="3:17" s="51" customFormat="1" ht="14.25">
      <c r="C26" s="132"/>
      <c r="D26" s="133"/>
      <c r="E26" s="133"/>
      <c r="F26" s="59"/>
      <c r="G26" s="59"/>
      <c r="H26" s="133"/>
      <c r="I26" s="133"/>
      <c r="J26" s="59"/>
      <c r="K26" s="133"/>
      <c r="L26" s="133"/>
      <c r="M26" s="87"/>
      <c r="Q26" s="102"/>
    </row>
    <row r="27" spans="2:20" s="51" customFormat="1" ht="15">
      <c r="B27" s="16" t="s">
        <v>128</v>
      </c>
      <c r="C27" s="129"/>
      <c r="D27" s="129">
        <f>SUM(D19:D25)</f>
        <v>11027.63812</v>
      </c>
      <c r="E27" s="129">
        <f>SUM(E19:E26)</f>
        <v>18480</v>
      </c>
      <c r="F27" s="59"/>
      <c r="G27" s="59"/>
      <c r="H27" s="129">
        <f>SUM(H19:H26)</f>
        <v>-3355.4394399999974</v>
      </c>
      <c r="I27" s="129">
        <f>SUM(I19:I26)</f>
        <v>5363</v>
      </c>
      <c r="J27" s="59"/>
      <c r="K27" s="129">
        <f>SUM(K19:K25)-1</f>
        <v>4697.500300000003</v>
      </c>
      <c r="L27" s="129">
        <f>SUM(L19:L26)</f>
        <v>20412</v>
      </c>
      <c r="M27" s="60"/>
      <c r="O27" s="137" t="e">
        <f>#REF!/#REF!</f>
        <v>#REF!</v>
      </c>
      <c r="P27" s="137">
        <f>K27/K15</f>
        <v>0.056243024546878434</v>
      </c>
      <c r="Q27" s="102">
        <v>7577.630109999996</v>
      </c>
      <c r="S27" s="16" t="s">
        <v>128</v>
      </c>
      <c r="T27" s="115"/>
    </row>
    <row r="28" spans="3:17" s="51" customFormat="1" ht="14.25">
      <c r="C28" s="129"/>
      <c r="D28" s="129"/>
      <c r="E28" s="129"/>
      <c r="F28" s="59"/>
      <c r="G28" s="59"/>
      <c r="H28" s="129"/>
      <c r="I28" s="129"/>
      <c r="J28" s="59"/>
      <c r="K28" s="129"/>
      <c r="L28" s="129"/>
      <c r="M28" s="60"/>
      <c r="Q28" s="102"/>
    </row>
    <row r="29" spans="2:19" s="51" customFormat="1" ht="14.25">
      <c r="B29" s="51" t="s">
        <v>33</v>
      </c>
      <c r="C29" s="129"/>
      <c r="D29" s="129">
        <f>'[8]1conso-YTD'!$Q$27</f>
        <v>-1973.23923</v>
      </c>
      <c r="E29" s="129">
        <v>-3414</v>
      </c>
      <c r="F29" s="59"/>
      <c r="G29" s="59"/>
      <c r="H29" s="129">
        <f>K29-D29</f>
        <v>275.9383099999998</v>
      </c>
      <c r="I29" s="129">
        <f>-1562</f>
        <v>-1562</v>
      </c>
      <c r="J29" s="59"/>
      <c r="K29" s="129">
        <f>'[11]1conso-YTD'!$T$27</f>
        <v>-1697.3009200000001</v>
      </c>
      <c r="L29" s="129">
        <v>-4798</v>
      </c>
      <c r="M29" s="60"/>
      <c r="Q29" s="102">
        <v>-1821.0964013993403</v>
      </c>
      <c r="S29" s="51" t="s">
        <v>33</v>
      </c>
    </row>
    <row r="30" spans="3:17" s="51" customFormat="1" ht="14.25">
      <c r="C30" s="132"/>
      <c r="D30" s="133"/>
      <c r="E30" s="132"/>
      <c r="F30" s="59"/>
      <c r="G30" s="59"/>
      <c r="H30" s="132"/>
      <c r="I30" s="132"/>
      <c r="J30" s="59"/>
      <c r="K30" s="133"/>
      <c r="L30" s="133"/>
      <c r="M30" s="87"/>
      <c r="Q30" s="102"/>
    </row>
    <row r="31" spans="2:19" s="51" customFormat="1" ht="15.75" thickBot="1">
      <c r="B31" s="16" t="s">
        <v>129</v>
      </c>
      <c r="C31" s="132"/>
      <c r="D31" s="130">
        <f>SUM(D27:D30)</f>
        <v>9054.39889</v>
      </c>
      <c r="E31" s="130">
        <f>SUM(E27:E30)</f>
        <v>15066</v>
      </c>
      <c r="F31" s="59"/>
      <c r="G31" s="59"/>
      <c r="H31" s="130">
        <f>SUM(H27:H30)+1</f>
        <v>-3078.501129999998</v>
      </c>
      <c r="I31" s="130">
        <f>SUM(I27:I30)</f>
        <v>3801</v>
      </c>
      <c r="J31" s="59"/>
      <c r="K31" s="130">
        <f>SUM(K27:K30)+1</f>
        <v>3001.199380000003</v>
      </c>
      <c r="L31" s="130">
        <f>SUM(L27:L30)</f>
        <v>15614</v>
      </c>
      <c r="M31" s="60"/>
      <c r="O31" s="137" t="e">
        <f>#REF!/#REF!</f>
        <v>#REF!</v>
      </c>
      <c r="P31" s="137">
        <f>K31/K15</f>
        <v>0.03593326655017273</v>
      </c>
      <c r="Q31" s="102">
        <v>5756.533708600657</v>
      </c>
      <c r="S31" s="16" t="s">
        <v>129</v>
      </c>
    </row>
    <row r="32" spans="2:19" s="51" customFormat="1" ht="15.75" thickTop="1">
      <c r="B32" s="16"/>
      <c r="C32" s="132"/>
      <c r="D32" s="132"/>
      <c r="E32" s="132"/>
      <c r="F32" s="59"/>
      <c r="G32" s="59"/>
      <c r="H32" s="132"/>
      <c r="I32" s="132"/>
      <c r="J32" s="59"/>
      <c r="K32" s="132"/>
      <c r="L32" s="132"/>
      <c r="M32" s="60"/>
      <c r="O32" s="137"/>
      <c r="P32" s="137"/>
      <c r="Q32" s="102"/>
      <c r="S32" s="16"/>
    </row>
    <row r="33" spans="2:19" s="51" customFormat="1" ht="15">
      <c r="B33" s="16" t="s">
        <v>219</v>
      </c>
      <c r="C33" s="185"/>
      <c r="D33" s="185">
        <v>0</v>
      </c>
      <c r="E33" s="185">
        <v>0</v>
      </c>
      <c r="F33" s="186"/>
      <c r="G33" s="186"/>
      <c r="H33" s="185">
        <v>0</v>
      </c>
      <c r="I33" s="185">
        <v>0</v>
      </c>
      <c r="J33" s="186"/>
      <c r="K33" s="185">
        <v>0</v>
      </c>
      <c r="L33" s="185">
        <v>0</v>
      </c>
      <c r="M33" s="60"/>
      <c r="O33" s="137"/>
      <c r="P33" s="137"/>
      <c r="Q33" s="102"/>
      <c r="S33" s="16"/>
    </row>
    <row r="34" spans="2:19" s="51" customFormat="1" ht="15">
      <c r="B34" s="16"/>
      <c r="C34" s="185"/>
      <c r="D34" s="185"/>
      <c r="E34" s="185"/>
      <c r="F34" s="186"/>
      <c r="G34" s="186"/>
      <c r="H34" s="185"/>
      <c r="I34" s="185"/>
      <c r="J34" s="186"/>
      <c r="K34" s="185"/>
      <c r="L34" s="185"/>
      <c r="M34" s="60"/>
      <c r="O34" s="137"/>
      <c r="P34" s="137"/>
      <c r="Q34" s="102"/>
      <c r="S34" s="16"/>
    </row>
    <row r="35" spans="2:19" s="51" customFormat="1" ht="15">
      <c r="B35" s="16" t="s">
        <v>220</v>
      </c>
      <c r="C35" s="185"/>
      <c r="D35" s="187">
        <f>SUM(D33:D34)</f>
        <v>0</v>
      </c>
      <c r="E35" s="187">
        <f>SUM(E33:E34)</f>
        <v>0</v>
      </c>
      <c r="F35" s="186"/>
      <c r="G35" s="186"/>
      <c r="H35" s="187">
        <f>SUM(H33:H34)</f>
        <v>0</v>
      </c>
      <c r="I35" s="187">
        <f>SUM(I33:I34)</f>
        <v>0</v>
      </c>
      <c r="J35" s="186"/>
      <c r="K35" s="187">
        <f>SUM(K33:K34)</f>
        <v>0</v>
      </c>
      <c r="L35" s="187">
        <v>0</v>
      </c>
      <c r="M35" s="60"/>
      <c r="O35" s="137"/>
      <c r="P35" s="137"/>
      <c r="Q35" s="102"/>
      <c r="S35" s="16"/>
    </row>
    <row r="36" spans="2:19" s="51" customFormat="1" ht="15">
      <c r="B36" s="16"/>
      <c r="C36" s="132"/>
      <c r="D36" s="132"/>
      <c r="E36" s="132"/>
      <c r="F36" s="59"/>
      <c r="G36" s="59"/>
      <c r="H36" s="132"/>
      <c r="I36" s="132"/>
      <c r="J36" s="59"/>
      <c r="K36" s="132"/>
      <c r="L36" s="132"/>
      <c r="M36" s="60"/>
      <c r="O36" s="137"/>
      <c r="P36" s="137"/>
      <c r="Q36" s="102"/>
      <c r="S36" s="16"/>
    </row>
    <row r="37" spans="2:19" s="51" customFormat="1" ht="15.75" thickBot="1">
      <c r="B37" s="16" t="s">
        <v>221</v>
      </c>
      <c r="C37" s="132"/>
      <c r="D37" s="134">
        <f>D31</f>
        <v>9054.39889</v>
      </c>
      <c r="E37" s="134">
        <f>E31</f>
        <v>15066</v>
      </c>
      <c r="F37" s="59"/>
      <c r="G37" s="59"/>
      <c r="H37" s="134">
        <f>H31</f>
        <v>-3078.501129999998</v>
      </c>
      <c r="I37" s="134">
        <f>I31</f>
        <v>3801</v>
      </c>
      <c r="J37" s="59"/>
      <c r="K37" s="134">
        <f>K31</f>
        <v>3001.199380000003</v>
      </c>
      <c r="L37" s="134">
        <f>L31</f>
        <v>15614</v>
      </c>
      <c r="M37" s="60"/>
      <c r="O37" s="137"/>
      <c r="P37" s="137"/>
      <c r="Q37" s="102"/>
      <c r="S37" s="16"/>
    </row>
    <row r="38" spans="2:19" s="51" customFormat="1" ht="15.75" thickTop="1">
      <c r="B38" s="16"/>
      <c r="C38" s="132"/>
      <c r="D38" s="132"/>
      <c r="E38" s="132"/>
      <c r="F38" s="59"/>
      <c r="G38" s="59"/>
      <c r="H38" s="132"/>
      <c r="I38" s="132"/>
      <c r="J38" s="59"/>
      <c r="K38" s="132"/>
      <c r="L38" s="132"/>
      <c r="M38" s="60"/>
      <c r="O38" s="137"/>
      <c r="P38" s="137"/>
      <c r="Q38" s="102"/>
      <c r="S38" s="16"/>
    </row>
    <row r="39" spans="2:19" s="51" customFormat="1" ht="15">
      <c r="B39" s="16" t="s">
        <v>229</v>
      </c>
      <c r="C39" s="132"/>
      <c r="D39" s="132"/>
      <c r="E39" s="132"/>
      <c r="F39" s="59"/>
      <c r="G39" s="59"/>
      <c r="H39" s="132"/>
      <c r="I39" s="132"/>
      <c r="J39" s="59"/>
      <c r="K39" s="132"/>
      <c r="L39" s="132"/>
      <c r="M39" s="60"/>
      <c r="O39" s="137"/>
      <c r="P39" s="137"/>
      <c r="Q39" s="102"/>
      <c r="S39" s="16"/>
    </row>
    <row r="40" spans="2:19" s="51" customFormat="1" ht="15">
      <c r="B40" s="16"/>
      <c r="C40" s="132"/>
      <c r="D40" s="132"/>
      <c r="E40" s="132"/>
      <c r="F40" s="59"/>
      <c r="G40" s="59"/>
      <c r="H40" s="132"/>
      <c r="I40" s="132"/>
      <c r="J40" s="59"/>
      <c r="K40" s="132"/>
      <c r="L40" s="132"/>
      <c r="M40" s="60"/>
      <c r="O40" s="137"/>
      <c r="P40" s="137"/>
      <c r="Q40" s="102"/>
      <c r="S40" s="16"/>
    </row>
    <row r="41" spans="2:19" s="51" customFormat="1" ht="15">
      <c r="B41" s="51" t="s">
        <v>230</v>
      </c>
      <c r="C41" s="132"/>
      <c r="D41" s="176">
        <v>6128</v>
      </c>
      <c r="E41" s="132">
        <v>12387</v>
      </c>
      <c r="F41" s="59"/>
      <c r="G41" s="59"/>
      <c r="H41" s="129">
        <f>K41-D41+2</f>
        <v>-3099</v>
      </c>
      <c r="I41" s="129">
        <v>3802</v>
      </c>
      <c r="J41" s="62"/>
      <c r="K41" s="176">
        <v>3027</v>
      </c>
      <c r="L41" s="176">
        <v>15610</v>
      </c>
      <c r="M41" s="60"/>
      <c r="O41" s="137"/>
      <c r="P41" s="137"/>
      <c r="Q41" s="102"/>
      <c r="S41" s="16"/>
    </row>
    <row r="42" spans="3:19" s="51" customFormat="1" ht="15">
      <c r="C42" s="132"/>
      <c r="D42" s="176"/>
      <c r="E42" s="132"/>
      <c r="F42" s="59"/>
      <c r="G42" s="59"/>
      <c r="H42" s="176"/>
      <c r="I42" s="176"/>
      <c r="J42" s="62"/>
      <c r="K42" s="176"/>
      <c r="L42" s="176"/>
      <c r="M42" s="60"/>
      <c r="O42" s="137"/>
      <c r="P42" s="137"/>
      <c r="Q42" s="102"/>
      <c r="S42" s="16"/>
    </row>
    <row r="43" spans="2:19" s="51" customFormat="1" ht="15">
      <c r="B43" s="51" t="s">
        <v>231</v>
      </c>
      <c r="C43" s="216"/>
      <c r="D43" s="215">
        <f>-'[8]1conso-YTD'!$Q$29</f>
        <v>-46.810050000000004</v>
      </c>
      <c r="E43" s="129">
        <v>5</v>
      </c>
      <c r="F43" s="59"/>
      <c r="G43" s="59"/>
      <c r="H43" s="129">
        <f>K43-D43-1</f>
        <v>20.006101</v>
      </c>
      <c r="I43" s="129">
        <f>L43-E43</f>
        <v>-1</v>
      </c>
      <c r="J43" s="62"/>
      <c r="K43" s="215">
        <f>-'[11]1conso-YTD'!$T$29</f>
        <v>-25.803949000000003</v>
      </c>
      <c r="L43" s="215">
        <v>4</v>
      </c>
      <c r="M43" s="60"/>
      <c r="O43" s="137"/>
      <c r="P43" s="137"/>
      <c r="Q43" s="102"/>
      <c r="S43" s="16"/>
    </row>
    <row r="44" spans="2:19" s="51" customFormat="1" ht="15">
      <c r="B44" s="16"/>
      <c r="C44" s="132"/>
      <c r="D44" s="176"/>
      <c r="E44" s="132"/>
      <c r="F44" s="59"/>
      <c r="G44" s="59"/>
      <c r="H44" s="176"/>
      <c r="I44" s="176"/>
      <c r="J44" s="62"/>
      <c r="K44" s="176"/>
      <c r="L44" s="176"/>
      <c r="M44" s="60"/>
      <c r="O44" s="137"/>
      <c r="P44" s="137"/>
      <c r="Q44" s="102"/>
      <c r="S44" s="16"/>
    </row>
    <row r="45" spans="2:19" s="51" customFormat="1" ht="15.75" thickBot="1">
      <c r="B45" s="51" t="s">
        <v>222</v>
      </c>
      <c r="C45" s="132"/>
      <c r="D45" s="218">
        <f>SUM(D41:D44)</f>
        <v>6081.18995</v>
      </c>
      <c r="E45" s="130">
        <f>SUM(E41:E44)</f>
        <v>12392</v>
      </c>
      <c r="F45" s="59"/>
      <c r="G45" s="59"/>
      <c r="H45" s="218">
        <f>SUM(H41:H44)</f>
        <v>-3078.993899</v>
      </c>
      <c r="I45" s="218">
        <f>SUM(I41:I44)</f>
        <v>3801</v>
      </c>
      <c r="J45" s="62"/>
      <c r="K45" s="218">
        <f>SUM(K41:K44)</f>
        <v>3001.196051</v>
      </c>
      <c r="L45" s="218">
        <f>SUM(L41:L44)</f>
        <v>15614</v>
      </c>
      <c r="M45" s="60"/>
      <c r="O45" s="137"/>
      <c r="P45" s="137"/>
      <c r="Q45" s="102"/>
      <c r="S45" s="16"/>
    </row>
    <row r="46" spans="2:19" s="51" customFormat="1" ht="15.75" thickTop="1">
      <c r="B46" s="51" t="s">
        <v>223</v>
      </c>
      <c r="C46" s="63"/>
      <c r="D46" s="176"/>
      <c r="E46" s="63"/>
      <c r="F46" s="59"/>
      <c r="G46" s="59"/>
      <c r="H46" s="176"/>
      <c r="I46" s="219"/>
      <c r="J46" s="62"/>
      <c r="K46" s="176"/>
      <c r="L46" s="176"/>
      <c r="M46" s="60"/>
      <c r="O46" s="137"/>
      <c r="P46" s="137"/>
      <c r="Q46" s="102"/>
      <c r="S46" s="16"/>
    </row>
    <row r="47" spans="2:19" s="51" customFormat="1" ht="15">
      <c r="B47" s="16"/>
      <c r="C47" s="63"/>
      <c r="D47" s="176"/>
      <c r="E47" s="63"/>
      <c r="F47" s="59"/>
      <c r="G47" s="59"/>
      <c r="H47" s="176"/>
      <c r="I47" s="219"/>
      <c r="J47" s="62"/>
      <c r="K47" s="176"/>
      <c r="L47" s="176"/>
      <c r="M47" s="60"/>
      <c r="O47" s="137"/>
      <c r="P47" s="137"/>
      <c r="Q47" s="102"/>
      <c r="S47" s="16"/>
    </row>
    <row r="48" spans="2:13" s="51" customFormat="1" ht="14.25">
      <c r="B48" s="54" t="s">
        <v>146</v>
      </c>
      <c r="C48" s="63"/>
      <c r="D48" s="219"/>
      <c r="E48" s="63"/>
      <c r="F48" s="59"/>
      <c r="G48" s="59"/>
      <c r="H48" s="176"/>
      <c r="I48" s="219"/>
      <c r="J48" s="62"/>
      <c r="K48" s="219"/>
      <c r="L48" s="176"/>
      <c r="M48" s="87"/>
    </row>
    <row r="49" spans="2:13" s="51" customFormat="1" ht="14.25">
      <c r="B49" s="54" t="s">
        <v>147</v>
      </c>
      <c r="C49" s="215"/>
      <c r="D49" s="176">
        <f>'[6]weighted avr share'!$O$46/1000</f>
        <v>135128.20512820513</v>
      </c>
      <c r="E49" s="215">
        <v>90000</v>
      </c>
      <c r="F49" s="62"/>
      <c r="G49" s="62"/>
      <c r="H49" s="215">
        <f>K49</f>
        <v>158218.18181818182</v>
      </c>
      <c r="I49" s="215">
        <v>90000</v>
      </c>
      <c r="J49" s="62"/>
      <c r="K49" s="176">
        <f>'[9]weighted avr share'!$O$68/1000</f>
        <v>158218.18181818182</v>
      </c>
      <c r="L49" s="215">
        <v>90000</v>
      </c>
      <c r="M49" s="87"/>
    </row>
    <row r="50" spans="2:13" s="51" customFormat="1" ht="14.25">
      <c r="B50" s="54"/>
      <c r="C50" s="176"/>
      <c r="D50" s="176"/>
      <c r="E50" s="176"/>
      <c r="F50" s="62"/>
      <c r="G50" s="62"/>
      <c r="H50" s="176"/>
      <c r="I50" s="176"/>
      <c r="J50" s="62"/>
      <c r="K50" s="176"/>
      <c r="L50" s="176"/>
      <c r="M50" s="87"/>
    </row>
    <row r="51" spans="2:13" s="51" customFormat="1" ht="14.25">
      <c r="B51" s="51" t="s">
        <v>224</v>
      </c>
      <c r="C51" s="177"/>
      <c r="D51" s="177">
        <f>D41/D49*100</f>
        <v>4.534952561669829</v>
      </c>
      <c r="E51" s="177">
        <f>E41/E49*100</f>
        <v>13.763333333333334</v>
      </c>
      <c r="F51" s="62"/>
      <c r="G51" s="62"/>
      <c r="H51" s="177">
        <f>H41/H49*100</f>
        <v>-1.9586876580096528</v>
      </c>
      <c r="I51" s="177">
        <f>I41/I49*100</f>
        <v>4.224444444444445</v>
      </c>
      <c r="J51" s="62"/>
      <c r="K51" s="177">
        <f>K41/K49*100</f>
        <v>1.91318087795909</v>
      </c>
      <c r="L51" s="177">
        <f>L41/L49*100</f>
        <v>17.344444444444445</v>
      </c>
      <c r="M51" s="60"/>
    </row>
    <row r="52" spans="12:13" s="51" customFormat="1" ht="14.25">
      <c r="L52" s="217"/>
      <c r="M52" s="60"/>
    </row>
    <row r="53" spans="3:13" s="51" customFormat="1" ht="14.25"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0"/>
    </row>
    <row r="54" s="51" customFormat="1" ht="15">
      <c r="B54" s="66" t="s">
        <v>80</v>
      </c>
    </row>
    <row r="55" s="51" customFormat="1" ht="14.25">
      <c r="B55" s="51" t="s">
        <v>99</v>
      </c>
    </row>
    <row r="56" spans="1:2" s="51" customFormat="1" ht="18">
      <c r="A56" s="120" t="s">
        <v>126</v>
      </c>
      <c r="B56" s="119" t="s">
        <v>141</v>
      </c>
    </row>
    <row r="57" spans="1:2" s="51" customFormat="1" ht="18">
      <c r="A57" s="119"/>
      <c r="B57" s="121" t="s">
        <v>142</v>
      </c>
    </row>
    <row r="58" spans="1:2" s="51" customFormat="1" ht="11.25" customHeight="1">
      <c r="A58" s="119"/>
      <c r="B58" s="119"/>
    </row>
    <row r="59" spans="1:2" s="51" customFormat="1" ht="18">
      <c r="A59" s="118" t="s">
        <v>127</v>
      </c>
      <c r="B59" s="119" t="s">
        <v>225</v>
      </c>
    </row>
    <row r="60" spans="1:2" s="51" customFormat="1" ht="18">
      <c r="A60" s="119"/>
      <c r="B60" s="119" t="s">
        <v>247</v>
      </c>
    </row>
    <row r="61" spans="1:2" s="51" customFormat="1" ht="15.75" customHeight="1">
      <c r="A61" s="119"/>
      <c r="B61" s="119" t="s">
        <v>99</v>
      </c>
    </row>
    <row r="62" spans="1:2" s="51" customFormat="1" ht="15.75" customHeight="1">
      <c r="A62" s="118"/>
      <c r="B62" s="119"/>
    </row>
    <row r="63" spans="1:2" s="51" customFormat="1" ht="15.75" customHeight="1" hidden="1">
      <c r="A63" s="118"/>
      <c r="B63" s="119"/>
    </row>
    <row r="64" spans="2:12" ht="16.5" customHeight="1" hidden="1" thickBot="1">
      <c r="B64" s="119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5.75" hidden="1" thickBot="1">
      <c r="B65" s="38"/>
      <c r="C65" s="38"/>
      <c r="D65" s="38"/>
      <c r="E65" s="38"/>
      <c r="F65" s="38"/>
      <c r="G65" s="38"/>
      <c r="H65" s="251" t="s">
        <v>85</v>
      </c>
      <c r="I65" s="252"/>
      <c r="J65" s="51"/>
      <c r="K65" s="251" t="s">
        <v>125</v>
      </c>
      <c r="L65" s="252"/>
    </row>
    <row r="66" spans="8:12" ht="15" hidden="1">
      <c r="H66" s="248" t="s">
        <v>139</v>
      </c>
      <c r="I66" s="248" t="s">
        <v>233</v>
      </c>
      <c r="J66" s="55"/>
      <c r="K66" s="248" t="s">
        <v>237</v>
      </c>
      <c r="L66" s="248" t="s">
        <v>232</v>
      </c>
    </row>
    <row r="67" spans="8:12" ht="15" hidden="1">
      <c r="H67" s="249"/>
      <c r="I67" s="250"/>
      <c r="J67" s="55"/>
      <c r="K67" s="249"/>
      <c r="L67" s="250"/>
    </row>
    <row r="68" spans="8:12" ht="15" hidden="1">
      <c r="H68" s="249"/>
      <c r="I68" s="250"/>
      <c r="J68" s="55"/>
      <c r="K68" s="249"/>
      <c r="L68" s="250"/>
    </row>
    <row r="69" spans="8:12" ht="15" hidden="1">
      <c r="H69" s="249"/>
      <c r="I69" s="250"/>
      <c r="J69" s="55"/>
      <c r="K69" s="249"/>
      <c r="L69" s="250"/>
    </row>
    <row r="70" spans="8:12" ht="15" hidden="1">
      <c r="H70" s="57" t="s">
        <v>261</v>
      </c>
      <c r="I70" s="57" t="s">
        <v>236</v>
      </c>
      <c r="J70" s="58"/>
      <c r="K70" s="57" t="s">
        <v>261</v>
      </c>
      <c r="L70" s="57" t="s">
        <v>236</v>
      </c>
    </row>
    <row r="71" spans="8:12" ht="15" hidden="1">
      <c r="H71" s="58" t="s">
        <v>0</v>
      </c>
      <c r="I71" s="58" t="s">
        <v>0</v>
      </c>
      <c r="J71" s="58"/>
      <c r="K71" s="58" t="s">
        <v>0</v>
      </c>
      <c r="L71" s="58" t="s">
        <v>0</v>
      </c>
    </row>
    <row r="72" spans="8:12" ht="15" hidden="1">
      <c r="H72" s="58"/>
      <c r="I72" s="58"/>
      <c r="J72" s="58"/>
      <c r="K72" s="58"/>
      <c r="L72" s="58"/>
    </row>
    <row r="73" ht="15" hidden="1">
      <c r="B73" s="66" t="s">
        <v>292</v>
      </c>
    </row>
    <row r="74" ht="15" hidden="1">
      <c r="B74" s="66"/>
    </row>
    <row r="75" spans="2:13" ht="14.25" hidden="1">
      <c r="B75" s="2" t="s">
        <v>50</v>
      </c>
      <c r="H75" s="234"/>
      <c r="I75" s="234"/>
      <c r="J75" s="234"/>
      <c r="K75" s="234"/>
      <c r="L75" s="234"/>
      <c r="M75" s="185"/>
    </row>
    <row r="76" spans="2:13" ht="14.25" hidden="1">
      <c r="B76" s="233" t="s">
        <v>273</v>
      </c>
      <c r="H76" s="234">
        <f>371-H77</f>
        <v>194</v>
      </c>
      <c r="I76" s="234">
        <f>561-I77</f>
        <v>480</v>
      </c>
      <c r="J76" s="234"/>
      <c r="K76" s="234">
        <f>1253-K77</f>
        <v>650</v>
      </c>
      <c r="L76" s="234">
        <f>2035-L77-L78</f>
        <v>1060</v>
      </c>
      <c r="M76" s="185"/>
    </row>
    <row r="77" spans="2:13" ht="14.25" hidden="1">
      <c r="B77" s="233" t="s">
        <v>274</v>
      </c>
      <c r="H77" s="234">
        <v>177</v>
      </c>
      <c r="I77" s="234">
        <v>81</v>
      </c>
      <c r="J77" s="234"/>
      <c r="K77" s="234">
        <v>603</v>
      </c>
      <c r="L77" s="234">
        <v>235</v>
      </c>
      <c r="M77" s="185"/>
    </row>
    <row r="78" spans="2:13" ht="14.25" hidden="1">
      <c r="B78" s="233" t="s">
        <v>288</v>
      </c>
      <c r="H78" s="234">
        <v>0</v>
      </c>
      <c r="I78" s="234">
        <v>0</v>
      </c>
      <c r="J78" s="234"/>
      <c r="K78" s="234">
        <v>0</v>
      </c>
      <c r="L78" s="234">
        <v>740</v>
      </c>
      <c r="M78" s="185"/>
    </row>
    <row r="79" spans="2:13" ht="14.25" hidden="1">
      <c r="B79" s="233" t="s">
        <v>275</v>
      </c>
      <c r="H79" s="234">
        <v>0</v>
      </c>
      <c r="I79" s="234">
        <v>0</v>
      </c>
      <c r="J79" s="234"/>
      <c r="K79" s="234">
        <v>0</v>
      </c>
      <c r="L79" s="234"/>
      <c r="M79" s="185"/>
    </row>
    <row r="80" spans="2:13" ht="14.25" hidden="1">
      <c r="B80" s="2"/>
      <c r="H80" s="235">
        <f>SUM(H76:H79)</f>
        <v>371</v>
      </c>
      <c r="I80" s="235">
        <f>SUM(I76:I79)</f>
        <v>561</v>
      </c>
      <c r="J80" s="234"/>
      <c r="K80" s="235">
        <f>SUM(K76:K79)</f>
        <v>1253</v>
      </c>
      <c r="L80" s="235">
        <f>SUM(L76:L79)</f>
        <v>2035</v>
      </c>
      <c r="M80" s="185"/>
    </row>
    <row r="81" spans="2:14" ht="14.25" hidden="1">
      <c r="B81" s="2"/>
      <c r="H81" s="234">
        <v>371</v>
      </c>
      <c r="I81" s="234">
        <v>561</v>
      </c>
      <c r="J81" s="234"/>
      <c r="K81" s="234">
        <v>1253</v>
      </c>
      <c r="L81" s="234">
        <v>2035</v>
      </c>
      <c r="M81" s="185"/>
      <c r="N81" s="236"/>
    </row>
    <row r="82" spans="2:13" ht="15" hidden="1">
      <c r="B82" s="66" t="s">
        <v>293</v>
      </c>
      <c r="H82" s="234"/>
      <c r="I82" s="234"/>
      <c r="J82" s="234"/>
      <c r="K82" s="234"/>
      <c r="L82" s="234"/>
      <c r="M82" s="185"/>
    </row>
    <row r="83" spans="2:13" ht="15" hidden="1">
      <c r="B83" s="66"/>
      <c r="H83" s="234"/>
      <c r="I83" s="234"/>
      <c r="J83" s="234"/>
      <c r="K83" s="234"/>
      <c r="L83" s="234"/>
      <c r="M83" s="185"/>
    </row>
    <row r="84" spans="2:13" ht="14.25" hidden="1">
      <c r="B84" s="2" t="s">
        <v>272</v>
      </c>
      <c r="H84" s="234"/>
      <c r="I84" s="234"/>
      <c r="J84" s="234"/>
      <c r="K84" s="234"/>
      <c r="L84" s="234"/>
      <c r="M84" s="185"/>
    </row>
    <row r="85" spans="2:13" ht="14.25" hidden="1">
      <c r="B85" s="233" t="s">
        <v>276</v>
      </c>
      <c r="H85" s="234">
        <v>1000.0320900000011</v>
      </c>
      <c r="I85" s="234">
        <v>1106</v>
      </c>
      <c r="J85" s="234"/>
      <c r="K85" s="234">
        <v>2873.7487600000004</v>
      </c>
      <c r="L85" s="234">
        <v>3780</v>
      </c>
      <c r="M85" s="185"/>
    </row>
    <row r="86" spans="2:13" ht="14.25" hidden="1">
      <c r="B86" s="233" t="s">
        <v>277</v>
      </c>
      <c r="H86" s="234">
        <v>501</v>
      </c>
      <c r="I86" s="234">
        <v>0</v>
      </c>
      <c r="J86" s="234"/>
      <c r="K86" s="234">
        <v>501</v>
      </c>
      <c r="L86" s="234">
        <v>0</v>
      </c>
      <c r="M86" s="185"/>
    </row>
    <row r="87" spans="2:13" ht="14.25" hidden="1">
      <c r="B87" s="233" t="s">
        <v>287</v>
      </c>
      <c r="H87" s="234">
        <v>253</v>
      </c>
      <c r="I87" s="234">
        <v>0</v>
      </c>
      <c r="J87" s="234"/>
      <c r="K87" s="234">
        <v>263</v>
      </c>
      <c r="L87" s="234">
        <v>0</v>
      </c>
      <c r="M87" s="185"/>
    </row>
    <row r="88" spans="2:13" ht="14.25" hidden="1">
      <c r="B88" s="233" t="s">
        <v>289</v>
      </c>
      <c r="H88" s="234">
        <f>4454.5+196</f>
        <v>4650.5</v>
      </c>
      <c r="I88" s="234">
        <f>3763</f>
        <v>3763</v>
      </c>
      <c r="J88" s="234"/>
      <c r="K88" s="234">
        <f>20214.42763+187</f>
        <v>20401.42763</v>
      </c>
      <c r="L88" s="234">
        <v>14940</v>
      </c>
      <c r="M88" s="185"/>
    </row>
    <row r="89" spans="8:13" ht="14.25" hidden="1">
      <c r="H89" s="235">
        <f>SUM(H85:H88)</f>
        <v>6404.532090000001</v>
      </c>
      <c r="I89" s="235">
        <f>SUM(I85:I88)</f>
        <v>4869</v>
      </c>
      <c r="J89" s="234"/>
      <c r="K89" s="235">
        <f>SUM(K85:K88)</f>
        <v>24039.17639</v>
      </c>
      <c r="L89" s="235">
        <f>SUM(L85:L88)</f>
        <v>18720</v>
      </c>
      <c r="M89" s="185"/>
    </row>
    <row r="90" spans="8:13" ht="14.25" hidden="1">
      <c r="H90" s="234"/>
      <c r="I90" s="234"/>
      <c r="J90" s="234"/>
      <c r="K90" s="234"/>
      <c r="L90" s="234"/>
      <c r="M90" s="185"/>
    </row>
    <row r="91" spans="8:12" ht="14.25" hidden="1">
      <c r="H91" s="132"/>
      <c r="I91" s="129"/>
      <c r="J91" s="59"/>
      <c r="K91" s="129"/>
      <c r="L91" s="129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spans="2:11" ht="12.75" hidden="1">
      <c r="B100" s="38"/>
      <c r="C100" s="38"/>
      <c r="D100" s="38"/>
      <c r="E100" s="38"/>
      <c r="F100" s="38"/>
      <c r="G100" s="38"/>
      <c r="H100" s="38"/>
      <c r="I100" s="38"/>
      <c r="J100" s="38"/>
      <c r="K100" s="116" t="e">
        <f>'[2]weighted avr share'!$O$36/1000</f>
        <v>#REF!</v>
      </c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spans="8:12" ht="26.25" hidden="1" thickBot="1">
      <c r="H109" s="240" t="s">
        <v>279</v>
      </c>
      <c r="I109" s="240" t="s">
        <v>280</v>
      </c>
      <c r="J109" s="239"/>
      <c r="K109" s="241" t="s">
        <v>281</v>
      </c>
      <c r="L109" s="240" t="s">
        <v>286</v>
      </c>
    </row>
    <row r="110" spans="8:12" ht="12.75" hidden="1">
      <c r="H110" s="242"/>
      <c r="I110" s="242"/>
      <c r="K110" s="242"/>
      <c r="L110" s="242"/>
    </row>
    <row r="111" spans="2:12" ht="12.75" hidden="1">
      <c r="B111" s="12">
        <v>2011</v>
      </c>
      <c r="H111" s="243"/>
      <c r="I111" s="243"/>
      <c r="K111" s="243"/>
      <c r="L111" s="243"/>
    </row>
    <row r="112" spans="8:12" ht="12.75" hidden="1">
      <c r="H112" s="244"/>
      <c r="I112" s="244"/>
      <c r="J112" s="236"/>
      <c r="K112" s="244"/>
      <c r="L112" s="243"/>
    </row>
    <row r="113" spans="2:12" ht="12.75" hidden="1">
      <c r="B113" s="12" t="s">
        <v>282</v>
      </c>
      <c r="H113" s="244">
        <v>-88302</v>
      </c>
      <c r="I113" s="244">
        <v>-20019</v>
      </c>
      <c r="J113" s="236"/>
      <c r="K113" s="244"/>
      <c r="L113" s="244">
        <f>SUM(H113:K113)</f>
        <v>-108321</v>
      </c>
    </row>
    <row r="114" spans="8:12" ht="12.75" hidden="1">
      <c r="H114" s="244"/>
      <c r="I114" s="244"/>
      <c r="J114" s="236"/>
      <c r="K114" s="244"/>
      <c r="L114" s="243"/>
    </row>
    <row r="115" spans="2:12" ht="12.75" hidden="1">
      <c r="B115" s="12" t="s">
        <v>283</v>
      </c>
      <c r="H115" s="244">
        <v>-154289</v>
      </c>
      <c r="I115" s="244">
        <v>651</v>
      </c>
      <c r="J115" s="236"/>
      <c r="K115" s="244">
        <v>-1725</v>
      </c>
      <c r="L115" s="244">
        <f>SUM(H115:K115)</f>
        <v>-155363</v>
      </c>
    </row>
    <row r="116" spans="8:12" ht="12.75" hidden="1">
      <c r="H116" s="244"/>
      <c r="I116" s="244"/>
      <c r="J116" s="236"/>
      <c r="K116" s="244"/>
      <c r="L116" s="243"/>
    </row>
    <row r="117" spans="8:12" ht="12.75" hidden="1">
      <c r="H117" s="245">
        <f>SUM(H113:H116)</f>
        <v>-242591</v>
      </c>
      <c r="I117" s="245">
        <f>SUM(I113:I116)</f>
        <v>-19368</v>
      </c>
      <c r="J117" s="237"/>
      <c r="K117" s="245">
        <f>SUM(K113:K116)</f>
        <v>-1725</v>
      </c>
      <c r="L117" s="245">
        <f>SUM(L113:L116)</f>
        <v>-263684</v>
      </c>
    </row>
    <row r="118" spans="8:12" ht="12.75" hidden="1">
      <c r="H118" s="244"/>
      <c r="I118" s="244"/>
      <c r="J118" s="236"/>
      <c r="K118" s="244"/>
      <c r="L118" s="243"/>
    </row>
    <row r="119" spans="2:12" ht="12.75" hidden="1">
      <c r="B119" s="12">
        <v>2010</v>
      </c>
      <c r="H119" s="244"/>
      <c r="I119" s="244"/>
      <c r="J119" s="236"/>
      <c r="K119" s="244"/>
      <c r="L119" s="243"/>
    </row>
    <row r="120" spans="8:12" ht="12.75" hidden="1">
      <c r="H120" s="244"/>
      <c r="I120" s="244"/>
      <c r="J120" s="236"/>
      <c r="K120" s="244"/>
      <c r="L120" s="243"/>
    </row>
    <row r="121" spans="2:12" ht="12.75" hidden="1">
      <c r="B121" s="12" t="s">
        <v>284</v>
      </c>
      <c r="H121" s="244">
        <v>539954</v>
      </c>
      <c r="I121" s="244">
        <v>34884</v>
      </c>
      <c r="J121" s="236"/>
      <c r="K121" s="244">
        <v>0</v>
      </c>
      <c r="L121" s="244">
        <f>SUM(H121:K121)</f>
        <v>574838</v>
      </c>
    </row>
    <row r="122" spans="8:12" ht="12.75" hidden="1">
      <c r="H122" s="244"/>
      <c r="I122" s="244"/>
      <c r="J122" s="236"/>
      <c r="K122" s="244"/>
      <c r="L122" s="243"/>
    </row>
    <row r="123" spans="2:12" ht="12.75" hidden="1">
      <c r="B123" s="12" t="s">
        <v>285</v>
      </c>
      <c r="H123" s="244">
        <v>164212</v>
      </c>
      <c r="I123" s="244">
        <v>1622</v>
      </c>
      <c r="J123" s="236"/>
      <c r="K123" s="244">
        <v>0</v>
      </c>
      <c r="L123" s="244">
        <f>SUM(H123:K123)</f>
        <v>165834</v>
      </c>
    </row>
    <row r="124" spans="8:12" ht="12.75" hidden="1">
      <c r="H124" s="244"/>
      <c r="I124" s="244"/>
      <c r="J124" s="236"/>
      <c r="K124" s="244"/>
      <c r="L124" s="243"/>
    </row>
    <row r="125" spans="8:12" ht="12.75" hidden="1">
      <c r="H125" s="245">
        <f>SUM(H121:H124)</f>
        <v>704166</v>
      </c>
      <c r="I125" s="245">
        <f>SUM(I121:I124)</f>
        <v>36506</v>
      </c>
      <c r="J125" s="238"/>
      <c r="K125" s="245">
        <f>SUM(K121:K124)</f>
        <v>0</v>
      </c>
      <c r="L125" s="245">
        <f>SUM(L121:L124)</f>
        <v>740672</v>
      </c>
    </row>
    <row r="126" spans="8:12" ht="12.75" hidden="1">
      <c r="H126" s="244"/>
      <c r="I126" s="244"/>
      <c r="J126" s="236"/>
      <c r="K126" s="244"/>
      <c r="L126" s="243"/>
    </row>
    <row r="127" spans="8:12" ht="13.5" hidden="1" thickBot="1">
      <c r="H127" s="246"/>
      <c r="I127" s="247"/>
      <c r="K127" s="247"/>
      <c r="L127" s="247"/>
    </row>
    <row r="128" ht="12.75" hidden="1"/>
    <row r="129" ht="12.75">
      <c r="H129" s="12"/>
    </row>
  </sheetData>
  <sheetProtection/>
  <mergeCells count="15">
    <mergeCell ref="H65:I65"/>
    <mergeCell ref="K65:L65"/>
    <mergeCell ref="H66:H69"/>
    <mergeCell ref="I66:I69"/>
    <mergeCell ref="K66:K69"/>
    <mergeCell ref="L66:L69"/>
    <mergeCell ref="D7:E7"/>
    <mergeCell ref="H7:I7"/>
    <mergeCell ref="K7:L7"/>
    <mergeCell ref="D8:D11"/>
    <mergeCell ref="E8:E11"/>
    <mergeCell ref="H8:H11"/>
    <mergeCell ref="I8:I11"/>
    <mergeCell ref="K8:K11"/>
    <mergeCell ref="L8:L11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62" r:id="rId1"/>
  <rowBreaks count="1" manualBreakCount="1">
    <brk id="62" max="12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31">
      <selection activeCell="E30" sqref="E30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0.7109375" style="0" customWidth="1"/>
  </cols>
  <sheetData>
    <row r="1" spans="2:8" ht="20.25">
      <c r="B1" s="253" t="str">
        <f>+'Income statement2'!B1</f>
        <v>HANDAL RESOURCES  BERHAD (816839-X)</v>
      </c>
      <c r="C1" s="253"/>
      <c r="D1" s="253"/>
      <c r="E1" s="253"/>
      <c r="F1" s="253"/>
      <c r="G1" s="253"/>
      <c r="H1" s="253"/>
    </row>
    <row r="2" spans="2:8" ht="18">
      <c r="B2" s="3"/>
      <c r="C2" s="3"/>
      <c r="D2" s="3"/>
      <c r="E2" s="3"/>
      <c r="F2" s="3"/>
      <c r="G2" s="3"/>
      <c r="H2" s="3"/>
    </row>
    <row r="3" spans="2:8" s="69" customFormat="1" ht="15.75">
      <c r="B3" s="67" t="s">
        <v>216</v>
      </c>
      <c r="C3" s="68"/>
      <c r="D3" s="68"/>
      <c r="E3" s="68"/>
      <c r="F3" s="68"/>
      <c r="G3" s="68"/>
      <c r="H3" s="68"/>
    </row>
    <row r="4" s="69" customFormat="1" ht="15.75">
      <c r="B4" s="67" t="s">
        <v>262</v>
      </c>
    </row>
    <row r="5" s="69" customFormat="1" ht="15"/>
    <row r="6" spans="3:7" s="69" customFormat="1" ht="15.75">
      <c r="C6" s="70" t="s">
        <v>78</v>
      </c>
      <c r="D6" s="70"/>
      <c r="E6" s="70" t="s">
        <v>78</v>
      </c>
      <c r="F6" s="70"/>
      <c r="G6" s="70" t="s">
        <v>120</v>
      </c>
    </row>
    <row r="7" spans="3:7" s="69" customFormat="1" ht="15.75">
      <c r="C7" s="70" t="s">
        <v>79</v>
      </c>
      <c r="D7" s="70"/>
      <c r="E7" s="70" t="s">
        <v>79</v>
      </c>
      <c r="F7" s="70"/>
      <c r="G7" s="70" t="s">
        <v>79</v>
      </c>
    </row>
    <row r="8" spans="3:7" s="69" customFormat="1" ht="15.75">
      <c r="C8" s="70" t="e">
        <f>+'Income statement2'!#REF!</f>
        <v>#REF!</v>
      </c>
      <c r="D8" s="70"/>
      <c r="E8" s="71" t="s">
        <v>261</v>
      </c>
      <c r="F8" s="70"/>
      <c r="G8" s="71" t="s">
        <v>236</v>
      </c>
    </row>
    <row r="9" spans="3:7" s="69" customFormat="1" ht="15.75">
      <c r="C9" s="68" t="s">
        <v>3</v>
      </c>
      <c r="D9" s="68"/>
      <c r="E9" s="68" t="s">
        <v>3</v>
      </c>
      <c r="F9" s="68"/>
      <c r="G9" s="68" t="s">
        <v>3</v>
      </c>
    </row>
    <row r="10" spans="3:7" s="69" customFormat="1" ht="15.75">
      <c r="C10" s="68"/>
      <c r="D10" s="68"/>
      <c r="E10" s="68"/>
      <c r="F10" s="68"/>
      <c r="G10" s="68"/>
    </row>
    <row r="11" spans="2:7" s="69" customFormat="1" ht="15.75">
      <c r="B11" s="67" t="s">
        <v>34</v>
      </c>
      <c r="C11" s="68"/>
      <c r="D11" s="68"/>
      <c r="E11" s="68"/>
      <c r="F11" s="68"/>
      <c r="G11" s="68"/>
    </row>
    <row r="12" spans="2:7" s="69" customFormat="1" ht="15.75">
      <c r="B12" s="67" t="s">
        <v>35</v>
      </c>
      <c r="C12" s="105"/>
      <c r="D12" s="68"/>
      <c r="E12" s="68"/>
      <c r="F12" s="68"/>
      <c r="G12" s="68"/>
    </row>
    <row r="13" spans="2:8" s="69" customFormat="1" ht="12.75" customHeight="1">
      <c r="B13" s="72" t="s">
        <v>112</v>
      </c>
      <c r="C13" s="106">
        <f>'[3]1conso-YTD'!$N$65</f>
        <v>27678.76659</v>
      </c>
      <c r="D13" s="73"/>
      <c r="E13" s="106">
        <f>'[11]1conso-YTD'!$T$67+'[11]1conso-YTD'!$T$68</f>
        <v>51223.168920000004</v>
      </c>
      <c r="F13" s="73"/>
      <c r="G13" s="106">
        <f>29229+2473</f>
        <v>31702</v>
      </c>
      <c r="H13" s="74"/>
    </row>
    <row r="14" spans="2:8" s="69" customFormat="1" ht="12.75" customHeight="1">
      <c r="B14" s="72" t="s">
        <v>269</v>
      </c>
      <c r="C14" s="106"/>
      <c r="D14" s="73"/>
      <c r="E14" s="106">
        <f>'[11]1conso-YTD'!$T$69</f>
        <v>11958.692</v>
      </c>
      <c r="F14" s="73"/>
      <c r="G14" s="179">
        <v>0</v>
      </c>
      <c r="H14" s="74"/>
    </row>
    <row r="15" spans="2:8" s="69" customFormat="1" ht="15.75" thickBot="1">
      <c r="B15" s="72" t="s">
        <v>151</v>
      </c>
      <c r="C15" s="107">
        <f>'[3]1conso-YTD'!$N$71</f>
        <v>373.97199</v>
      </c>
      <c r="D15" s="73"/>
      <c r="E15" s="107">
        <f>'[11]1conso-YTD'!$T$74</f>
        <v>373.96898999999996</v>
      </c>
      <c r="F15" s="73"/>
      <c r="G15" s="107">
        <f>'BS12.09'!D10/1000</f>
        <v>373.969</v>
      </c>
      <c r="H15" s="75"/>
    </row>
    <row r="16" spans="2:8" s="69" customFormat="1" ht="16.5" thickBot="1">
      <c r="B16" s="76"/>
      <c r="C16" s="107">
        <f>SUM(C13:C15)</f>
        <v>28052.738579999997</v>
      </c>
      <c r="D16" s="73"/>
      <c r="E16" s="114">
        <f>SUM(E13:E15)</f>
        <v>63555.82991000001</v>
      </c>
      <c r="F16" s="73"/>
      <c r="G16" s="107">
        <f>SUM(G13:G15)</f>
        <v>32075.969</v>
      </c>
      <c r="H16" s="75"/>
    </row>
    <row r="17" spans="2:8" s="69" customFormat="1" ht="15">
      <c r="B17" s="72"/>
      <c r="C17" s="108"/>
      <c r="D17" s="77"/>
      <c r="E17" s="108"/>
      <c r="F17" s="77"/>
      <c r="G17" s="108"/>
      <c r="H17" s="75"/>
    </row>
    <row r="18" spans="2:8" s="69" customFormat="1" ht="15">
      <c r="B18" s="72"/>
      <c r="C18" s="108"/>
      <c r="D18" s="77"/>
      <c r="E18" s="108"/>
      <c r="F18" s="77"/>
      <c r="G18" s="108"/>
      <c r="H18" s="75"/>
    </row>
    <row r="19" spans="2:8" s="69" customFormat="1" ht="15.75">
      <c r="B19" s="76" t="s">
        <v>4</v>
      </c>
      <c r="C19" s="108"/>
      <c r="D19" s="77"/>
      <c r="E19" s="108"/>
      <c r="F19" s="77"/>
      <c r="G19" s="108"/>
      <c r="H19" s="75"/>
    </row>
    <row r="20" spans="2:8" s="69" customFormat="1" ht="15">
      <c r="B20" s="75" t="s">
        <v>54</v>
      </c>
      <c r="C20" s="106">
        <f>'[3]1conso-YTD'!$N$75</f>
        <v>5239.74082</v>
      </c>
      <c r="D20" s="73"/>
      <c r="E20" s="106">
        <f>'[11]1conso-YTD'!$T$79</f>
        <v>6219.49379</v>
      </c>
      <c r="F20" s="73"/>
      <c r="G20" s="106">
        <v>5195</v>
      </c>
      <c r="H20" s="75"/>
    </row>
    <row r="21" spans="2:8" s="69" customFormat="1" ht="15">
      <c r="B21" s="75" t="s">
        <v>242</v>
      </c>
      <c r="C21" s="106">
        <f>'[3]1conso-YTD'!$N$76</f>
        <v>199</v>
      </c>
      <c r="D21" s="73"/>
      <c r="E21" s="179">
        <f>'[11]1conso-YTD'!$T$80</f>
        <v>10003.50287</v>
      </c>
      <c r="F21" s="73"/>
      <c r="G21" s="106">
        <v>2212</v>
      </c>
      <c r="H21" s="75"/>
    </row>
    <row r="22" spans="2:8" s="69" customFormat="1" ht="15">
      <c r="B22" s="75" t="s">
        <v>53</v>
      </c>
      <c r="C22" s="106">
        <f>'[3]1conso-YTD'!$N$77</f>
        <v>17984.309699999994</v>
      </c>
      <c r="D22" s="73"/>
      <c r="E22" s="106">
        <f>'[11]1conso-YTD'!$T$81</f>
        <v>5621.927360000001</v>
      </c>
      <c r="F22" s="73"/>
      <c r="G22" s="106">
        <v>14112</v>
      </c>
      <c r="H22" s="75"/>
    </row>
    <row r="23" spans="2:8" s="69" customFormat="1" ht="15">
      <c r="B23" s="75" t="s">
        <v>113</v>
      </c>
      <c r="C23" s="106">
        <f>'[3]1conso-YTD'!$N$78</f>
        <v>18688.837959999997</v>
      </c>
      <c r="D23" s="73"/>
      <c r="E23" s="106">
        <f>'[11]1conso-YTD'!$T$82</f>
        <v>25560.36479</v>
      </c>
      <c r="F23" s="73"/>
      <c r="G23" s="106">
        <f>28631+324</f>
        <v>28955</v>
      </c>
      <c r="H23" s="75"/>
    </row>
    <row r="24" spans="2:8" s="69" customFormat="1" ht="15">
      <c r="B24" s="75" t="s">
        <v>55</v>
      </c>
      <c r="C24" s="106">
        <f>'[3]1conso-YTD'!$N$80+'[3]1conso-YTD'!$N$81+750</f>
        <v>1382.37885</v>
      </c>
      <c r="D24" s="73"/>
      <c r="E24" s="106">
        <f>'[11]1conso-YTD'!$T$84+'[11]1conso-YTD'!$T$85</f>
        <v>2986.4823399999996</v>
      </c>
      <c r="F24" s="73"/>
      <c r="G24" s="106">
        <v>3933</v>
      </c>
      <c r="H24" s="75"/>
    </row>
    <row r="25" spans="2:8" s="69" customFormat="1" ht="15">
      <c r="B25" s="75" t="s">
        <v>271</v>
      </c>
      <c r="C25" s="106"/>
      <c r="D25" s="73"/>
      <c r="E25" s="232">
        <f>-'[11]1conso-YTD'!$T$123</f>
        <v>1667.45956</v>
      </c>
      <c r="F25" s="73"/>
      <c r="G25" s="179">
        <v>0</v>
      </c>
      <c r="H25" s="75"/>
    </row>
    <row r="26" spans="2:8" s="69" customFormat="1" ht="15">
      <c r="B26" s="75" t="s">
        <v>114</v>
      </c>
      <c r="C26" s="106">
        <f>'[3]1conso-YTD'!$N$82</f>
        <v>29349.86621</v>
      </c>
      <c r="D26" s="73"/>
      <c r="E26" s="106">
        <f>'[11]1conso-YTD'!$T$86</f>
        <v>38068.12326</v>
      </c>
      <c r="F26" s="73"/>
      <c r="G26" s="106">
        <f>20123+11807</f>
        <v>31930</v>
      </c>
      <c r="H26" s="75"/>
    </row>
    <row r="27" spans="2:8" s="69" customFormat="1" ht="15.75" thickBot="1">
      <c r="B27" s="75" t="s">
        <v>148</v>
      </c>
      <c r="C27" s="117">
        <f>'[3]1conso-YTD'!$N$83</f>
        <v>3943.64952</v>
      </c>
      <c r="D27" s="73"/>
      <c r="E27" s="106">
        <f>'[11]1conso-YTD'!$T$87</f>
        <v>12249.66474</v>
      </c>
      <c r="F27" s="73"/>
      <c r="G27" s="106">
        <v>7333</v>
      </c>
      <c r="H27" s="75"/>
    </row>
    <row r="28" spans="2:8" s="69" customFormat="1" ht="15.75" thickBot="1">
      <c r="B28" s="72" t="s">
        <v>270</v>
      </c>
      <c r="C28" s="108"/>
      <c r="D28" s="77"/>
      <c r="E28" s="108">
        <f>'[11]1conso-YTD'!$T$78</f>
        <v>5000</v>
      </c>
      <c r="F28" s="77"/>
      <c r="G28" s="230">
        <v>0</v>
      </c>
      <c r="H28" s="75"/>
    </row>
    <row r="29" spans="2:8" s="69" customFormat="1" ht="15.75" thickBot="1">
      <c r="B29" s="72"/>
      <c r="C29" s="107">
        <f>SUM(C20:C27)+0.5</f>
        <v>76788.28306</v>
      </c>
      <c r="D29" s="77"/>
      <c r="E29" s="114">
        <f>SUM(E20:E28)-1</f>
        <v>107376.01871</v>
      </c>
      <c r="F29" s="77"/>
      <c r="G29" s="107">
        <f>SUM(G20:G28)</f>
        <v>93670</v>
      </c>
      <c r="H29" s="75"/>
    </row>
    <row r="30" spans="2:8" s="69" customFormat="1" ht="15">
      <c r="B30" s="72"/>
      <c r="C30" s="108"/>
      <c r="D30" s="77"/>
      <c r="E30" s="108"/>
      <c r="F30" s="77"/>
      <c r="G30" s="108"/>
      <c r="H30" s="75"/>
    </row>
    <row r="31" spans="2:8" s="69" customFormat="1" ht="16.5" thickBot="1">
      <c r="B31" s="76" t="s">
        <v>36</v>
      </c>
      <c r="C31" s="109">
        <f>+C29+C16</f>
        <v>104841.02163999999</v>
      </c>
      <c r="D31" s="77"/>
      <c r="E31" s="109">
        <f>+E29+E16</f>
        <v>170931.84862</v>
      </c>
      <c r="F31" s="77"/>
      <c r="G31" s="109">
        <f>G16+G29</f>
        <v>125745.969</v>
      </c>
      <c r="H31" s="75"/>
    </row>
    <row r="32" spans="2:8" s="69" customFormat="1" ht="15.75" thickTop="1">
      <c r="B32" s="72"/>
      <c r="C32" s="108"/>
      <c r="D32" s="77"/>
      <c r="E32" s="108"/>
      <c r="F32" s="77"/>
      <c r="G32" s="108"/>
      <c r="H32" s="75"/>
    </row>
    <row r="33" spans="2:8" s="69" customFormat="1" ht="15.75">
      <c r="B33" s="76" t="s">
        <v>37</v>
      </c>
      <c r="C33" s="108"/>
      <c r="D33" s="77"/>
      <c r="E33" s="108"/>
      <c r="F33" s="77"/>
      <c r="G33" s="108"/>
      <c r="H33" s="75"/>
    </row>
    <row r="34" spans="2:8" s="69" customFormat="1" ht="15.75">
      <c r="B34" s="76" t="s">
        <v>56</v>
      </c>
      <c r="C34" s="108"/>
      <c r="D34" s="77"/>
      <c r="E34" s="108"/>
      <c r="F34" s="77"/>
      <c r="G34" s="108"/>
      <c r="H34" s="75"/>
    </row>
    <row r="35" spans="2:8" s="69" customFormat="1" ht="15">
      <c r="B35" s="75" t="s">
        <v>57</v>
      </c>
      <c r="C35" s="106">
        <f>'[3]1conso-YTD'!$N$95</f>
        <v>45000</v>
      </c>
      <c r="D35" s="73"/>
      <c r="E35" s="106">
        <f>'[11]1conso-YTD'!$T$102</f>
        <v>79999.99999999999</v>
      </c>
      <c r="F35" s="73"/>
      <c r="G35" s="106">
        <v>45000</v>
      </c>
      <c r="H35" s="75"/>
    </row>
    <row r="36" spans="2:8" s="69" customFormat="1" ht="15">
      <c r="B36" s="75" t="s">
        <v>143</v>
      </c>
      <c r="C36" s="106">
        <f>'[3]1conso-YTD'!$N$97</f>
        <v>1549.57636</v>
      </c>
      <c r="D36" s="73"/>
      <c r="E36" s="106">
        <f>'[11]1conso-YTD'!$T$104</f>
        <v>269.93694</v>
      </c>
      <c r="F36" s="73"/>
      <c r="G36" s="106">
        <v>1550</v>
      </c>
      <c r="H36" s="75"/>
    </row>
    <row r="37" spans="2:8" s="69" customFormat="1" ht="15.75" thickBot="1">
      <c r="B37" s="75" t="s">
        <v>115</v>
      </c>
      <c r="C37" s="107">
        <f>'[3]1conso-YTD'!$N$98+750</f>
        <v>12847.421649</v>
      </c>
      <c r="D37" s="73"/>
      <c r="E37" s="220">
        <f>'[11]1conso-YTD'!$T$105</f>
        <v>18613.450109000005</v>
      </c>
      <c r="F37" s="73"/>
      <c r="G37" s="107">
        <v>23836</v>
      </c>
      <c r="H37" s="75"/>
    </row>
    <row r="38" spans="2:8" s="69" customFormat="1" ht="15">
      <c r="B38" s="75" t="s">
        <v>153</v>
      </c>
      <c r="C38" s="135">
        <f>SUM(C35:C37)</f>
        <v>59396.998009</v>
      </c>
      <c r="D38" s="77"/>
      <c r="E38" s="221">
        <f>SUM(E35:E37)</f>
        <v>98883.38704899998</v>
      </c>
      <c r="F38" s="77"/>
      <c r="G38" s="135">
        <f>SUM(G35:G37)</f>
        <v>70386</v>
      </c>
      <c r="H38" s="75"/>
    </row>
    <row r="39" spans="2:8" s="69" customFormat="1" ht="15">
      <c r="B39" s="75" t="s">
        <v>154</v>
      </c>
      <c r="C39" s="106">
        <f>'[3]1conso-YTD'!$N$101</f>
        <v>-2.369579</v>
      </c>
      <c r="D39" s="73"/>
      <c r="E39" s="222">
        <f>'[11]1conso-YTD'!$T$108</f>
        <v>7</v>
      </c>
      <c r="F39" s="73"/>
      <c r="G39" s="179">
        <v>3</v>
      </c>
      <c r="H39" s="75"/>
    </row>
    <row r="40" spans="2:8" s="69" customFormat="1" ht="15.75" thickBot="1">
      <c r="B40" s="75" t="s">
        <v>121</v>
      </c>
      <c r="C40" s="136">
        <f>SUM(C38:C39)</f>
        <v>59394.628430000004</v>
      </c>
      <c r="D40" s="77"/>
      <c r="E40" s="223">
        <f>SUM(E38:E39)</f>
        <v>98890.38704899998</v>
      </c>
      <c r="F40" s="77"/>
      <c r="G40" s="136">
        <f>SUM(G38:G39)</f>
        <v>70389</v>
      </c>
      <c r="H40" s="75"/>
    </row>
    <row r="41" spans="2:8" s="69" customFormat="1" ht="15.75">
      <c r="B41" s="78"/>
      <c r="C41" s="106"/>
      <c r="D41" s="77"/>
      <c r="E41" s="108"/>
      <c r="F41" s="77"/>
      <c r="G41" s="106"/>
      <c r="H41" s="75"/>
    </row>
    <row r="42" spans="2:8" s="69" customFormat="1" ht="15.75">
      <c r="B42" s="78" t="s">
        <v>38</v>
      </c>
      <c r="C42" s="106"/>
      <c r="D42" s="77"/>
      <c r="E42" s="108"/>
      <c r="F42" s="77"/>
      <c r="G42" s="106"/>
      <c r="H42" s="75"/>
    </row>
    <row r="43" spans="2:8" s="69" customFormat="1" ht="15">
      <c r="B43" s="75" t="s">
        <v>58</v>
      </c>
      <c r="C43" s="106">
        <f>'[3]1conso-YTD'!$N$106</f>
        <v>128</v>
      </c>
      <c r="D43" s="73"/>
      <c r="E43" s="106">
        <f>'[11]1conso-YTD'!$T$113</f>
        <v>128</v>
      </c>
      <c r="F43" s="73"/>
      <c r="G43" s="106">
        <v>248</v>
      </c>
      <c r="H43" s="75"/>
    </row>
    <row r="44" spans="2:8" s="69" customFormat="1" ht="15">
      <c r="B44" s="75" t="s">
        <v>116</v>
      </c>
      <c r="C44" s="106">
        <f>'[3]1conso-YTD'!$N$107-5000</f>
        <v>16845.727010000002</v>
      </c>
      <c r="D44" s="73"/>
      <c r="E44" s="106">
        <f>'[11]1conso-YTD'!$T$114</f>
        <v>37169.94286</v>
      </c>
      <c r="F44" s="73"/>
      <c r="G44" s="106">
        <v>18844</v>
      </c>
      <c r="H44" s="75"/>
    </row>
    <row r="45" spans="2:8" s="69" customFormat="1" ht="15.75" thickBot="1">
      <c r="B45" s="75" t="s">
        <v>117</v>
      </c>
      <c r="C45" s="107">
        <f>'[3]1conso-YTD'!$N$108</f>
        <v>1143.5</v>
      </c>
      <c r="D45" s="73"/>
      <c r="E45" s="107">
        <f>'[11]1conso-YTD'!$T$115</f>
        <v>1696.1</v>
      </c>
      <c r="F45" s="73"/>
      <c r="G45" s="107">
        <v>1979</v>
      </c>
      <c r="H45" s="75"/>
    </row>
    <row r="46" spans="2:8" s="69" customFormat="1" ht="16.5" thickBot="1">
      <c r="B46" s="78"/>
      <c r="C46" s="107">
        <f>SUM(C43:C45)</f>
        <v>18117.227010000002</v>
      </c>
      <c r="D46" s="77"/>
      <c r="E46" s="114">
        <f>SUM(E43:E45)</f>
        <v>38994.04286</v>
      </c>
      <c r="F46" s="77"/>
      <c r="G46" s="114">
        <f>SUM(G43:G45)</f>
        <v>21071</v>
      </c>
      <c r="H46" s="75"/>
    </row>
    <row r="47" spans="2:8" s="69" customFormat="1" ht="15.75">
      <c r="B47" s="78"/>
      <c r="C47" s="106"/>
      <c r="D47" s="77"/>
      <c r="E47" s="108"/>
      <c r="F47" s="77"/>
      <c r="G47" s="106"/>
      <c r="H47" s="75"/>
    </row>
    <row r="48" spans="2:8" s="69" customFormat="1" ht="15.75">
      <c r="B48" s="78" t="s">
        <v>39</v>
      </c>
      <c r="C48" s="108"/>
      <c r="D48" s="77"/>
      <c r="E48" s="108"/>
      <c r="F48" s="77"/>
      <c r="G48" s="108"/>
      <c r="H48" s="75"/>
    </row>
    <row r="49" spans="2:8" s="69" customFormat="1" ht="15">
      <c r="B49" s="75" t="s">
        <v>243</v>
      </c>
      <c r="C49" s="108"/>
      <c r="D49" s="77"/>
      <c r="E49" s="180">
        <f>'[11]1conso-YTD'!$T$118</f>
        <v>0</v>
      </c>
      <c r="F49" s="77"/>
      <c r="G49" s="180">
        <v>3257</v>
      </c>
      <c r="H49" s="75"/>
    </row>
    <row r="50" spans="2:8" s="69" customFormat="1" ht="15">
      <c r="B50" s="72" t="s">
        <v>59</v>
      </c>
      <c r="C50" s="106">
        <f>'[3]1conso-YTD'!$N$111</f>
        <v>8518.03714</v>
      </c>
      <c r="D50" s="73"/>
      <c r="E50" s="106">
        <f>'[11]1conso-YTD'!$T$119</f>
        <v>12360.027329999999</v>
      </c>
      <c r="F50" s="73"/>
      <c r="G50" s="106">
        <v>10593</v>
      </c>
      <c r="H50" s="75"/>
    </row>
    <row r="51" spans="2:8" s="69" customFormat="1" ht="15">
      <c r="B51" s="72" t="s">
        <v>118</v>
      </c>
      <c r="C51" s="106">
        <f>'[3]1conso-YTD'!$N$112</f>
        <v>2186.2584</v>
      </c>
      <c r="D51" s="73"/>
      <c r="E51" s="222">
        <f>'[11]1conso-YTD'!$T$120</f>
        <v>9652.447219999998</v>
      </c>
      <c r="F51" s="73"/>
      <c r="G51" s="106">
        <v>3025</v>
      </c>
      <c r="H51" s="75"/>
    </row>
    <row r="52" spans="2:8" s="69" customFormat="1" ht="15">
      <c r="B52" s="72" t="s">
        <v>58</v>
      </c>
      <c r="C52" s="106">
        <f>'[3]1conso-YTD'!$N$113</f>
        <v>311.98563</v>
      </c>
      <c r="D52" s="73"/>
      <c r="E52" s="106">
        <f>'[11]1conso-YTD'!$T$121</f>
        <v>167.49721</v>
      </c>
      <c r="F52" s="73"/>
      <c r="G52" s="106">
        <v>97</v>
      </c>
      <c r="H52" s="75"/>
    </row>
    <row r="53" spans="2:8" s="69" customFormat="1" ht="15">
      <c r="B53" s="72" t="s">
        <v>60</v>
      </c>
      <c r="C53" s="106">
        <f>'[3]1conso-YTD'!$N$114+5000</f>
        <v>17328.22855</v>
      </c>
      <c r="D53" s="73"/>
      <c r="E53" s="106">
        <f>'[11]1conso-YTD'!$T$122</f>
        <v>10868.99003</v>
      </c>
      <c r="F53" s="73"/>
      <c r="G53" s="106">
        <v>16947</v>
      </c>
      <c r="H53" s="75"/>
    </row>
    <row r="54" spans="2:8" s="69" customFormat="1" ht="15.75" thickBot="1">
      <c r="B54" s="72" t="s">
        <v>61</v>
      </c>
      <c r="C54" s="106">
        <f>'[3]1conso-YTD'!$N$115</f>
        <v>1489.59725</v>
      </c>
      <c r="D54" s="73"/>
      <c r="E54" s="231">
        <v>0</v>
      </c>
      <c r="F54" s="73"/>
      <c r="G54" s="107">
        <v>367</v>
      </c>
      <c r="H54" s="75"/>
    </row>
    <row r="55" spans="2:8" s="69" customFormat="1" ht="15.75" thickBot="1">
      <c r="B55" s="75"/>
      <c r="C55" s="114">
        <f>SUM(C50:C54)</f>
        <v>29834.10697</v>
      </c>
      <c r="D55" s="77"/>
      <c r="E55" s="114">
        <f>SUM(E49:E54)-1</f>
        <v>33047.96179</v>
      </c>
      <c r="F55" s="77"/>
      <c r="G55" s="114">
        <f>SUM(G49:G54)</f>
        <v>34286</v>
      </c>
      <c r="H55" s="75"/>
    </row>
    <row r="56" spans="2:8" s="69" customFormat="1" ht="12.75" customHeight="1">
      <c r="B56" s="75"/>
      <c r="C56" s="108"/>
      <c r="D56" s="77"/>
      <c r="E56" s="108"/>
      <c r="F56" s="77"/>
      <c r="G56" s="108"/>
      <c r="H56" s="75"/>
    </row>
    <row r="57" spans="2:8" s="69" customFormat="1" ht="15.75">
      <c r="B57" s="78" t="s">
        <v>40</v>
      </c>
      <c r="C57" s="108">
        <f>+C55+C46</f>
        <v>47951.33398</v>
      </c>
      <c r="D57" s="77"/>
      <c r="E57" s="108">
        <f>+E55+E46</f>
        <v>72042.00465</v>
      </c>
      <c r="F57" s="77"/>
      <c r="G57" s="108">
        <f>G46+G55</f>
        <v>55357</v>
      </c>
      <c r="H57" s="75"/>
    </row>
    <row r="58" spans="3:8" s="69" customFormat="1" ht="12.75" customHeight="1">
      <c r="C58" s="108"/>
      <c r="D58" s="77"/>
      <c r="E58" s="108"/>
      <c r="F58" s="77"/>
      <c r="G58" s="108"/>
      <c r="H58" s="75"/>
    </row>
    <row r="59" spans="2:8" s="69" customFormat="1" ht="16.5" thickBot="1">
      <c r="B59" s="67" t="s">
        <v>41</v>
      </c>
      <c r="C59" s="109">
        <f>C57+C40</f>
        <v>107345.96241000001</v>
      </c>
      <c r="D59" s="70"/>
      <c r="E59" s="109">
        <f>E57+E40</f>
        <v>170932.39169899997</v>
      </c>
      <c r="F59" s="70"/>
      <c r="G59" s="109">
        <f>G40+G57</f>
        <v>125746</v>
      </c>
      <c r="H59" s="75"/>
    </row>
    <row r="60" spans="2:8" s="69" customFormat="1" ht="16.5" thickTop="1">
      <c r="B60" s="67"/>
      <c r="C60" s="73"/>
      <c r="D60" s="77"/>
      <c r="E60" s="77"/>
      <c r="F60" s="77"/>
      <c r="G60" s="73"/>
      <c r="H60" s="75"/>
    </row>
    <row r="61" spans="2:8" s="69" customFormat="1" ht="15.75">
      <c r="B61" s="67"/>
      <c r="D61" s="73"/>
      <c r="E61" s="73"/>
      <c r="F61" s="73"/>
      <c r="G61" s="73"/>
      <c r="H61" s="75"/>
    </row>
    <row r="62" spans="2:8" s="69" customFormat="1" ht="15" hidden="1">
      <c r="B62" s="69" t="s">
        <v>6</v>
      </c>
      <c r="C62" s="79" t="e">
        <f>+(+#REF!-C17+#REF!)/43560</f>
        <v>#REF!</v>
      </c>
      <c r="D62" s="79"/>
      <c r="E62" s="79"/>
      <c r="F62" s="79"/>
      <c r="G62" s="79" t="e">
        <f>+(+#REF!-G17+#REF!)/43560</f>
        <v>#REF!</v>
      </c>
      <c r="H62" s="75"/>
    </row>
    <row r="63" spans="2:8" s="69" customFormat="1" ht="15">
      <c r="B63" s="254" t="s">
        <v>130</v>
      </c>
      <c r="C63" s="79"/>
      <c r="D63" s="79"/>
      <c r="E63" s="79"/>
      <c r="F63" s="79"/>
      <c r="G63" s="79"/>
      <c r="H63" s="75"/>
    </row>
    <row r="64" spans="2:8" s="69" customFormat="1" ht="15">
      <c r="B64" s="254"/>
      <c r="C64" s="79">
        <f>+C38/90000</f>
        <v>0.6599666445444444</v>
      </c>
      <c r="D64" s="79"/>
      <c r="E64" s="79">
        <f>+E38/160000</f>
        <v>0.6180211690562499</v>
      </c>
      <c r="F64" s="79"/>
      <c r="G64" s="79">
        <f>G38/90000</f>
        <v>0.7820666666666667</v>
      </c>
      <c r="H64" s="75"/>
    </row>
    <row r="65" s="69" customFormat="1" ht="9.75" customHeight="1">
      <c r="B65" s="80"/>
    </row>
    <row r="66" spans="1:11" s="69" customFormat="1" ht="15">
      <c r="A66" s="81" t="s">
        <v>126</v>
      </c>
      <c r="B66" s="69" t="s">
        <v>217</v>
      </c>
      <c r="C66" s="82"/>
      <c r="D66" s="82"/>
      <c r="E66" s="82"/>
      <c r="F66" s="82"/>
      <c r="G66" s="82"/>
      <c r="H66" s="82"/>
      <c r="I66" s="82"/>
      <c r="J66" s="82"/>
      <c r="K66" s="82"/>
    </row>
    <row r="67" spans="2:11" s="69" customFormat="1" ht="15">
      <c r="B67" s="69" t="s">
        <v>244</v>
      </c>
      <c r="C67" s="82"/>
      <c r="D67" s="82"/>
      <c r="E67" s="82"/>
      <c r="F67" s="82"/>
      <c r="G67" s="82"/>
      <c r="H67" s="82"/>
      <c r="I67" s="82"/>
      <c r="J67" s="82"/>
      <c r="K67" s="82"/>
    </row>
    <row r="68" spans="2:11" s="69" customFormat="1" ht="15">
      <c r="B68" s="75"/>
      <c r="C68" s="82"/>
      <c r="D68" s="82"/>
      <c r="E68" s="82"/>
      <c r="F68" s="82"/>
      <c r="G68" s="82"/>
      <c r="H68" s="82"/>
      <c r="I68" s="82"/>
      <c r="J68" s="82"/>
      <c r="K68" s="82"/>
    </row>
    <row r="69" spans="1:9" s="69" customFormat="1" ht="15">
      <c r="A69" s="81" t="s">
        <v>127</v>
      </c>
      <c r="B69" s="69" t="s">
        <v>131</v>
      </c>
      <c r="C69" s="83"/>
      <c r="D69" s="83"/>
      <c r="E69" s="83"/>
      <c r="F69" s="83"/>
      <c r="G69" s="83"/>
      <c r="H69" s="83"/>
      <c r="I69" s="83"/>
    </row>
    <row r="70" spans="2:9" s="69" customFormat="1" ht="15">
      <c r="B70" s="84" t="s">
        <v>256</v>
      </c>
      <c r="C70" s="83"/>
      <c r="D70" s="83"/>
      <c r="E70" s="83"/>
      <c r="F70" s="83"/>
      <c r="G70" s="83"/>
      <c r="H70" s="83"/>
      <c r="I70" s="83"/>
    </row>
    <row r="71" spans="2:9" ht="12.75">
      <c r="B71" s="38"/>
      <c r="C71" s="11"/>
      <c r="D71" s="38"/>
      <c r="E71" s="38"/>
      <c r="F71" s="38"/>
      <c r="G71" s="38"/>
      <c r="H71" s="38"/>
      <c r="I71" s="38"/>
    </row>
    <row r="75" ht="12.75">
      <c r="C75" s="131"/>
    </row>
  </sheetData>
  <sheetProtection/>
  <mergeCells count="2">
    <mergeCell ref="B1:H1"/>
    <mergeCell ref="B63:B64"/>
  </mergeCells>
  <printOptions gridLines="1"/>
  <pageMargins left="0.36" right="0.17" top="0.3" bottom="0.2" header="0.22" footer="0.1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9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6" width="18.7109375" style="90" customWidth="1"/>
    <col min="7" max="7" width="22.7109375" style="90" customWidth="1"/>
    <col min="8" max="8" width="18.7109375" style="90" customWidth="1"/>
    <col min="9" max="16384" width="9.140625" style="90" customWidth="1"/>
  </cols>
  <sheetData>
    <row r="1" ht="20.25">
      <c r="B1" s="89" t="str">
        <f>+'Income statement2'!B1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260</v>
      </c>
    </row>
    <row r="5" s="92" customFormat="1" ht="15">
      <c r="B5" s="91"/>
    </row>
    <row r="6" s="92" customFormat="1" ht="15.75" thickBot="1">
      <c r="B6" s="91"/>
    </row>
    <row r="7" spans="3:8" s="92" customFormat="1" ht="20.25" customHeight="1" thickBot="1">
      <c r="C7" s="255" t="s">
        <v>122</v>
      </c>
      <c r="D7" s="256"/>
      <c r="E7" s="256"/>
      <c r="F7" s="256"/>
      <c r="G7" s="256"/>
      <c r="H7" s="257"/>
    </row>
    <row r="8" s="92" customFormat="1" ht="12.75" customHeight="1" hidden="1"/>
    <row r="9" s="92" customFormat="1" ht="12.75" customHeight="1" hidden="1"/>
    <row r="10" spans="3:8" s="92" customFormat="1" ht="15" customHeight="1">
      <c r="C10" s="93"/>
      <c r="D10" s="93"/>
      <c r="E10" s="93"/>
      <c r="F10" s="93"/>
      <c r="G10" s="88"/>
      <c r="H10" s="93"/>
    </row>
    <row r="11" spans="3:8" s="92" customFormat="1" ht="15" customHeight="1">
      <c r="C11" s="93"/>
      <c r="D11" s="93"/>
      <c r="E11" s="93"/>
      <c r="F11" s="93"/>
      <c r="G11" s="100"/>
      <c r="H11" s="100"/>
    </row>
    <row r="12" spans="3:8" s="92" customFormat="1" ht="15" customHeight="1">
      <c r="C12" s="93" t="s">
        <v>5</v>
      </c>
      <c r="D12" s="93" t="s">
        <v>10</v>
      </c>
      <c r="E12" s="101" t="s">
        <v>11</v>
      </c>
      <c r="F12" s="93" t="s">
        <v>153</v>
      </c>
      <c r="G12" s="101" t="s">
        <v>215</v>
      </c>
      <c r="H12" s="101" t="s">
        <v>62</v>
      </c>
    </row>
    <row r="13" spans="3:8" s="92" customFormat="1" ht="15" customHeight="1">
      <c r="C13" s="93"/>
      <c r="D13" s="93"/>
      <c r="E13" s="100"/>
      <c r="F13" s="93"/>
      <c r="G13" s="100"/>
      <c r="H13" s="100"/>
    </row>
    <row r="14" spans="3:8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3</v>
      </c>
    </row>
    <row r="15" spans="3:8" s="92" customFormat="1" ht="15" customHeight="1">
      <c r="C15" s="93"/>
      <c r="D15" s="93"/>
      <c r="E15" s="93"/>
      <c r="F15" s="93"/>
      <c r="G15" s="93"/>
      <c r="H15" s="93"/>
    </row>
    <row r="16" spans="2:8" s="92" customFormat="1" ht="15" customHeight="1">
      <c r="B16" s="91" t="s">
        <v>245</v>
      </c>
      <c r="C16" s="110">
        <v>45000</v>
      </c>
      <c r="D16" s="110">
        <v>1550</v>
      </c>
      <c r="E16" s="110">
        <f>23836460/1000</f>
        <v>23836.46</v>
      </c>
      <c r="F16" s="110">
        <f>SUM(C16:E16)</f>
        <v>70386.45999999999</v>
      </c>
      <c r="G16" s="110">
        <f>3285/1000</f>
        <v>3.285</v>
      </c>
      <c r="H16" s="110">
        <f>SUM(F16:G16)-1</f>
        <v>70388.745</v>
      </c>
    </row>
    <row r="17" spans="2:8" s="92" customFormat="1" ht="15" customHeight="1">
      <c r="B17" s="91"/>
      <c r="C17" s="110"/>
      <c r="D17" s="110"/>
      <c r="E17" s="110"/>
      <c r="F17" s="110"/>
      <c r="G17" s="110"/>
      <c r="H17" s="110"/>
    </row>
    <row r="18" spans="2:8" s="92" customFormat="1" ht="15" customHeight="1">
      <c r="B18" s="92" t="s">
        <v>254</v>
      </c>
      <c r="C18" s="94">
        <v>30000</v>
      </c>
      <c r="D18" s="94">
        <v>270</v>
      </c>
      <c r="E18" s="94">
        <v>0</v>
      </c>
      <c r="F18" s="94">
        <f>SUM(C18:E18)</f>
        <v>30270</v>
      </c>
      <c r="G18" s="94">
        <v>0</v>
      </c>
      <c r="H18" s="110">
        <f>SUM(F18:G18)</f>
        <v>30270</v>
      </c>
    </row>
    <row r="19" spans="2:8" s="92" customFormat="1" ht="15" customHeight="1">
      <c r="B19" s="91"/>
      <c r="C19" s="94"/>
      <c r="D19" s="94"/>
      <c r="E19" s="94"/>
      <c r="F19" s="94"/>
      <c r="G19" s="94"/>
      <c r="H19" s="94"/>
    </row>
    <row r="20" spans="2:8" s="92" customFormat="1" ht="15" customHeight="1">
      <c r="B20" s="92" t="s">
        <v>253</v>
      </c>
      <c r="C20" s="94">
        <v>5000</v>
      </c>
      <c r="D20" s="94">
        <v>-1550</v>
      </c>
      <c r="E20" s="94">
        <v>-3450</v>
      </c>
      <c r="F20" s="94">
        <f>SUM(C20:E20)</f>
        <v>0</v>
      </c>
      <c r="G20" s="94">
        <v>0</v>
      </c>
      <c r="H20" s="110">
        <f>SUM(F20:G20)</f>
        <v>0</v>
      </c>
    </row>
    <row r="21" spans="2:8" s="92" customFormat="1" ht="15" customHeight="1">
      <c r="B21" s="91"/>
      <c r="C21" s="94"/>
      <c r="D21" s="94"/>
      <c r="E21" s="94"/>
      <c r="F21" s="94"/>
      <c r="G21" s="94"/>
      <c r="H21" s="94"/>
    </row>
    <row r="22" spans="2:8" s="92" customFormat="1" ht="15" customHeight="1">
      <c r="B22" s="92" t="s">
        <v>228</v>
      </c>
      <c r="C22" s="94"/>
      <c r="D22" s="94"/>
      <c r="E22" s="94">
        <v>-4800</v>
      </c>
      <c r="F22" s="94">
        <f>SUM(C22:E22)</f>
        <v>-4800</v>
      </c>
      <c r="G22" s="94">
        <v>0</v>
      </c>
      <c r="H22" s="110">
        <f>SUM(F22:G22)</f>
        <v>-4800</v>
      </c>
    </row>
    <row r="23" spans="2:8" s="92" customFormat="1" ht="15" customHeight="1">
      <c r="B23" s="91"/>
      <c r="C23" s="94"/>
      <c r="D23" s="94"/>
      <c r="E23" s="94"/>
      <c r="F23" s="94"/>
      <c r="G23" s="94"/>
      <c r="H23" s="94"/>
    </row>
    <row r="24" spans="2:8" s="92" customFormat="1" ht="15" customHeight="1">
      <c r="B24" s="92" t="s">
        <v>246</v>
      </c>
      <c r="C24" s="94"/>
      <c r="D24" s="224"/>
      <c r="E24" s="224">
        <v>3027</v>
      </c>
      <c r="F24" s="224">
        <f>SUM(C24:E24)</f>
        <v>3027</v>
      </c>
      <c r="G24" s="224">
        <v>4</v>
      </c>
      <c r="H24" s="227">
        <f>SUM(F24:G24)</f>
        <v>3031</v>
      </c>
    </row>
    <row r="25" spans="3:8" s="92" customFormat="1" ht="15" customHeight="1">
      <c r="C25" s="94"/>
      <c r="D25" s="224"/>
      <c r="E25" s="224"/>
      <c r="F25" s="224"/>
      <c r="G25" s="224"/>
      <c r="H25" s="224"/>
    </row>
    <row r="26" spans="2:9" s="92" customFormat="1" ht="15" customHeight="1" thickBot="1">
      <c r="B26" s="91" t="s">
        <v>263</v>
      </c>
      <c r="C26" s="95">
        <f aca="true" t="shared" si="0" ref="C26:H26">SUM(C16:C25)</f>
        <v>80000</v>
      </c>
      <c r="D26" s="225">
        <f t="shared" si="0"/>
        <v>270</v>
      </c>
      <c r="E26" s="225">
        <f t="shared" si="0"/>
        <v>18613.46</v>
      </c>
      <c r="F26" s="225">
        <f t="shared" si="0"/>
        <v>98883.45999999999</v>
      </c>
      <c r="G26" s="225">
        <f t="shared" si="0"/>
        <v>7.285</v>
      </c>
      <c r="H26" s="225">
        <f t="shared" si="0"/>
        <v>98889.745</v>
      </c>
      <c r="I26" s="96"/>
    </row>
    <row r="27" spans="3:8" s="92" customFormat="1" ht="15" customHeight="1" thickTop="1">
      <c r="C27" s="97"/>
      <c r="D27" s="226"/>
      <c r="E27" s="226"/>
      <c r="F27" s="226"/>
      <c r="G27" s="226"/>
      <c r="H27" s="226"/>
    </row>
    <row r="28" spans="3:14" s="92" customFormat="1" ht="15" customHeight="1">
      <c r="C28" s="97"/>
      <c r="D28" s="97"/>
      <c r="E28" s="97"/>
      <c r="F28" s="97"/>
      <c r="G28" s="97"/>
      <c r="N28" s="97"/>
    </row>
    <row r="29" spans="2:14" s="92" customFormat="1" ht="15" customHeight="1" hidden="1">
      <c r="B29" s="92" t="s">
        <v>119</v>
      </c>
      <c r="C29" s="97"/>
      <c r="D29" s="97"/>
      <c r="E29" s="97"/>
      <c r="F29" s="97"/>
      <c r="G29" s="97"/>
      <c r="I29" s="98"/>
      <c r="J29" s="98"/>
      <c r="K29" s="98"/>
      <c r="M29" s="98"/>
      <c r="N29" s="97"/>
    </row>
    <row r="30" spans="2:13" s="92" customFormat="1" ht="15" customHeight="1" hidden="1">
      <c r="B30" s="98"/>
      <c r="C30" s="97"/>
      <c r="D30" s="97"/>
      <c r="E30" s="97"/>
      <c r="F30" s="97"/>
      <c r="G30" s="97"/>
      <c r="H30" s="97"/>
      <c r="I30" s="98"/>
      <c r="J30" s="98"/>
      <c r="K30" s="98"/>
      <c r="L30" s="98"/>
      <c r="M30" s="98"/>
    </row>
    <row r="31" spans="2:7" ht="12.75" hidden="1">
      <c r="B31" s="99"/>
      <c r="C31" s="99"/>
      <c r="D31" s="99"/>
      <c r="E31" s="99"/>
      <c r="F31" s="99"/>
      <c r="G31" s="99"/>
    </row>
    <row r="32" spans="2:7" ht="12.75" hidden="1">
      <c r="B32" s="127" t="s">
        <v>149</v>
      </c>
      <c r="C32" s="99"/>
      <c r="D32" s="99"/>
      <c r="E32" s="99"/>
      <c r="F32" s="99"/>
      <c r="G32" s="99"/>
    </row>
    <row r="33" spans="2:7" ht="14.25" hidden="1">
      <c r="B33" s="125" t="s">
        <v>152</v>
      </c>
      <c r="C33" s="126"/>
      <c r="D33" s="126"/>
      <c r="E33" s="126"/>
      <c r="F33" s="126"/>
      <c r="G33" s="126"/>
    </row>
    <row r="34" spans="2:7" ht="14.25" hidden="1">
      <c r="B34" s="92" t="s">
        <v>150</v>
      </c>
      <c r="C34" s="92"/>
      <c r="D34" s="92"/>
      <c r="E34" s="92"/>
      <c r="F34" s="92"/>
      <c r="G34" s="92"/>
    </row>
    <row r="35" spans="2:7" ht="14.25">
      <c r="B35" s="92"/>
      <c r="C35" s="92"/>
      <c r="D35" s="92"/>
      <c r="E35" s="92"/>
      <c r="F35" s="92"/>
      <c r="G35" s="92"/>
    </row>
    <row r="36" spans="2:7" ht="14.25">
      <c r="B36" s="92" t="s">
        <v>226</v>
      </c>
      <c r="C36" s="92"/>
      <c r="D36" s="92"/>
      <c r="E36" s="92"/>
      <c r="F36" s="92"/>
      <c r="G36" s="92"/>
    </row>
    <row r="37" spans="2:7" ht="14.25">
      <c r="B37" s="92" t="s">
        <v>244</v>
      </c>
      <c r="C37" s="92"/>
      <c r="D37" s="92"/>
      <c r="E37" s="92"/>
      <c r="F37" s="92"/>
      <c r="G37" s="92"/>
    </row>
    <row r="38" ht="14.25">
      <c r="B38" s="98" t="s">
        <v>99</v>
      </c>
    </row>
    <row r="39" ht="14.25">
      <c r="B39" s="92"/>
    </row>
  </sheetData>
  <sheetProtection/>
  <mergeCells count="1">
    <mergeCell ref="C7:H7"/>
  </mergeCells>
  <printOptions gridLines="1"/>
  <pageMargins left="0.24" right="0.17" top="0.58" bottom="0.17" header="0.29" footer="0.1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statement2'!B1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statement2'!J12</f>
        <v>31 December 2011</v>
      </c>
      <c r="E8" s="12"/>
      <c r="F8" s="5" t="str">
        <f>'Income statement2'!K12</f>
        <v>31 December 2010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58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58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58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58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statement2'!B1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61" t="s">
        <v>18</v>
      </c>
      <c r="D6" s="262"/>
      <c r="E6" s="261" t="s">
        <v>19</v>
      </c>
      <c r="F6" s="262"/>
      <c r="H6" s="7"/>
    </row>
    <row r="7" spans="3:6" ht="12.75">
      <c r="C7" s="263" t="s">
        <v>20</v>
      </c>
      <c r="D7" s="263" t="s">
        <v>21</v>
      </c>
      <c r="E7" s="263" t="s">
        <v>23</v>
      </c>
      <c r="F7" s="263" t="s">
        <v>22</v>
      </c>
    </row>
    <row r="8" spans="3:6" ht="12.75">
      <c r="C8" s="263"/>
      <c r="D8" s="263"/>
      <c r="E8" s="263"/>
      <c r="F8" s="263"/>
    </row>
    <row r="9" spans="3:6" ht="12.75">
      <c r="C9" s="263"/>
      <c r="D9" s="263"/>
      <c r="E9" s="263"/>
      <c r="F9" s="263"/>
    </row>
    <row r="10" spans="3:6" ht="12.75">
      <c r="C10" s="5" t="e">
        <f>+'Income statement2'!#REF!</f>
        <v>#REF!</v>
      </c>
      <c r="D10" s="5" t="e">
        <f>+'Income statement2'!#REF!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statement2'!#REF!</f>
        <v>#REF!</v>
      </c>
      <c r="D14" s="9" t="e">
        <f>+'Income statement2'!#REF!</f>
        <v>#REF!</v>
      </c>
      <c r="E14" s="9">
        <f>+'Income statement2'!J15</f>
        <v>83521.47378</v>
      </c>
      <c r="F14" s="9">
        <f>+'Income statement2'!K15</f>
        <v>98783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statement2'!#REF!</f>
        <v>#REF!</v>
      </c>
      <c r="D16" s="9" t="e">
        <f>+'Income statement2'!#REF!</f>
        <v>#REF!</v>
      </c>
      <c r="E16" s="9">
        <f>+'Income statement2'!J29</f>
        <v>4697.500300000005</v>
      </c>
      <c r="F16" s="9">
        <f>+'Income statement2'!K29</f>
        <v>20412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59" t="s">
        <v>49</v>
      </c>
      <c r="C18" s="9" t="e">
        <f>+'Income statement2'!#REF!</f>
        <v>#REF!</v>
      </c>
      <c r="D18" s="9" t="e">
        <f>+'Income statement2'!#REF!</f>
        <v>#REF!</v>
      </c>
      <c r="E18" s="9" t="e">
        <f>+'Income statement2'!#REF!</f>
        <v>#REF!</v>
      </c>
      <c r="F18" s="9" t="e">
        <f>+'Income statement2'!#REF!</f>
        <v>#REF!</v>
      </c>
    </row>
    <row r="19" spans="1:6" ht="12.75">
      <c r="A19" s="1"/>
      <c r="B19" s="259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statement2'!#REF!</f>
        <v>#REF!</v>
      </c>
      <c r="D21" s="9" t="e">
        <f>+'Income statement2'!#REF!</f>
        <v>#REF!</v>
      </c>
      <c r="E21" s="9" t="e">
        <f>+'Income statement2'!#REF!</f>
        <v>#REF!</v>
      </c>
      <c r="F21" s="9" t="e">
        <f>+'Income statement2'!#REF!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60" t="s">
        <v>48</v>
      </c>
      <c r="C33" s="9"/>
      <c r="D33" s="9"/>
      <c r="E33" s="10">
        <f>+'balance sheet'!C64</f>
        <v>0.6599666445444444</v>
      </c>
      <c r="F33" s="10">
        <f>+'balance sheet'!G64</f>
        <v>0.7820666666666667</v>
      </c>
    </row>
    <row r="34" spans="2:6" ht="12.75">
      <c r="B34" s="260"/>
      <c r="C34" s="9"/>
      <c r="D34" s="9"/>
      <c r="E34" s="9"/>
      <c r="F34" s="9"/>
    </row>
    <row r="35" spans="2:6" ht="12.75">
      <c r="B35" s="260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53" customWidth="1"/>
    <col min="4" max="4" width="17.8515625" style="153" customWidth="1"/>
    <col min="5" max="5" width="11.00390625" style="0" customWidth="1"/>
  </cols>
  <sheetData>
    <row r="1" ht="15">
      <c r="B1" s="16" t="s">
        <v>173</v>
      </c>
    </row>
    <row r="2" ht="15">
      <c r="B2" s="16" t="s">
        <v>174</v>
      </c>
    </row>
    <row r="3" ht="15">
      <c r="B3" s="16" t="s">
        <v>175</v>
      </c>
    </row>
    <row r="4" ht="15">
      <c r="B4" s="16"/>
    </row>
    <row r="5" ht="15">
      <c r="B5" s="16" t="s">
        <v>176</v>
      </c>
    </row>
    <row r="6" ht="15">
      <c r="B6" s="16" t="s">
        <v>177</v>
      </c>
    </row>
    <row r="7" ht="14.25">
      <c r="B7" s="150"/>
    </row>
    <row r="8" spans="2:4" ht="15">
      <c r="B8" s="24"/>
      <c r="C8" s="17" t="s">
        <v>178</v>
      </c>
      <c r="D8" s="17">
        <v>2009</v>
      </c>
    </row>
    <row r="9" spans="2:4" ht="15">
      <c r="B9" s="24"/>
      <c r="C9" s="17"/>
      <c r="D9" s="17" t="s">
        <v>179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55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55">
        <v>1410509</v>
      </c>
    </row>
    <row r="17" spans="2:4" ht="14.25">
      <c r="B17" s="20" t="s">
        <v>65</v>
      </c>
      <c r="C17" s="19"/>
      <c r="D17" s="155">
        <v>968612</v>
      </c>
    </row>
    <row r="18" spans="2:4" ht="14.25">
      <c r="B18" s="20" t="s">
        <v>180</v>
      </c>
      <c r="C18" s="19"/>
      <c r="D18" s="155">
        <v>48152</v>
      </c>
    </row>
    <row r="19" spans="2:4" ht="14.25">
      <c r="B19" s="20" t="s">
        <v>66</v>
      </c>
      <c r="C19" s="19"/>
      <c r="D19" s="155">
        <v>29548</v>
      </c>
    </row>
    <row r="20" spans="2:4" ht="14.25">
      <c r="B20" s="20" t="s">
        <v>181</v>
      </c>
      <c r="C20" s="19"/>
      <c r="D20" s="155">
        <v>-38068</v>
      </c>
    </row>
    <row r="21" spans="2:4" ht="14.25">
      <c r="B21" s="20" t="s">
        <v>67</v>
      </c>
      <c r="C21" s="19"/>
      <c r="D21" s="155">
        <v>-381336</v>
      </c>
    </row>
    <row r="22" spans="2:5" ht="15" thickBot="1">
      <c r="B22" s="20" t="s">
        <v>182</v>
      </c>
      <c r="C22" s="19"/>
      <c r="D22" s="156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55">
        <v>14683053</v>
      </c>
    </row>
    <row r="25" spans="2:4" ht="14.25">
      <c r="B25" s="20"/>
      <c r="C25" s="19"/>
      <c r="D25" s="19"/>
    </row>
    <row r="26" spans="2:4" ht="14.25">
      <c r="B26" s="24" t="s">
        <v>183</v>
      </c>
      <c r="C26" s="19"/>
      <c r="D26" s="155">
        <v>1005378</v>
      </c>
    </row>
    <row r="27" spans="2:4" ht="14.25">
      <c r="B27" s="24" t="s">
        <v>184</v>
      </c>
      <c r="C27" s="19"/>
      <c r="D27" s="155">
        <v>2638376</v>
      </c>
    </row>
    <row r="28" spans="2:4" ht="14.25">
      <c r="B28" s="20" t="s">
        <v>144</v>
      </c>
      <c r="C28" s="19"/>
      <c r="D28" s="155">
        <v>-3186200</v>
      </c>
    </row>
    <row r="29" spans="2:4" ht="28.5">
      <c r="B29" s="20" t="s">
        <v>185</v>
      </c>
      <c r="C29" s="19"/>
      <c r="D29" s="155">
        <v>-1774921</v>
      </c>
    </row>
    <row r="30" spans="2:4" ht="28.5">
      <c r="B30" s="20" t="s">
        <v>132</v>
      </c>
      <c r="C30" s="19"/>
      <c r="D30" s="155">
        <v>1373389</v>
      </c>
    </row>
    <row r="31" spans="2:4" ht="14.25">
      <c r="B31" s="20" t="s">
        <v>69</v>
      </c>
      <c r="C31" s="19"/>
      <c r="D31" s="155">
        <v>189777</v>
      </c>
    </row>
    <row r="32" spans="2:4" ht="15" thickBot="1">
      <c r="B32" s="20" t="s">
        <v>133</v>
      </c>
      <c r="C32" s="19"/>
      <c r="D32" s="156">
        <v>-271731</v>
      </c>
    </row>
    <row r="33" spans="2:4" ht="14.25">
      <c r="B33" s="24"/>
      <c r="C33" s="19"/>
      <c r="D33" s="19"/>
    </row>
    <row r="34" spans="2:4" ht="14.25">
      <c r="B34" s="24" t="s">
        <v>186</v>
      </c>
      <c r="C34" s="19"/>
      <c r="D34" s="155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55">
        <v>-134101</v>
      </c>
    </row>
    <row r="37" spans="2:4" ht="15" thickBot="1">
      <c r="B37" s="18" t="s">
        <v>70</v>
      </c>
      <c r="C37" s="19"/>
      <c r="D37" s="156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56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187</v>
      </c>
      <c r="C42" s="19"/>
      <c r="D42" s="19"/>
    </row>
    <row r="43" spans="2:4" ht="14.25">
      <c r="B43" s="18" t="s">
        <v>188</v>
      </c>
      <c r="C43" s="19">
        <v>17</v>
      </c>
      <c r="D43" s="155">
        <v>15479479</v>
      </c>
    </row>
    <row r="44" spans="2:4" ht="14.25">
      <c r="B44" s="18" t="s">
        <v>189</v>
      </c>
      <c r="C44" s="19"/>
      <c r="D44" s="155">
        <v>381336</v>
      </c>
    </row>
    <row r="45" spans="2:4" ht="14.25">
      <c r="B45" s="18" t="s">
        <v>190</v>
      </c>
      <c r="C45" s="19"/>
      <c r="D45" s="155">
        <v>38068</v>
      </c>
    </row>
    <row r="46" spans="2:4" ht="14.25">
      <c r="B46" s="18" t="s">
        <v>90</v>
      </c>
      <c r="C46" s="19"/>
      <c r="D46" s="155">
        <v>-500682</v>
      </c>
    </row>
    <row r="47" spans="2:4" ht="15" thickBot="1">
      <c r="B47" s="18" t="s">
        <v>73</v>
      </c>
      <c r="C47" s="19">
        <v>25</v>
      </c>
      <c r="D47" s="155">
        <v>-11636454</v>
      </c>
    </row>
    <row r="48" spans="2:4" ht="15">
      <c r="B48" s="18"/>
      <c r="C48" s="19"/>
      <c r="D48" s="157"/>
    </row>
    <row r="49" spans="2:4" ht="15" thickBot="1">
      <c r="B49" s="18" t="s">
        <v>191</v>
      </c>
      <c r="C49" s="19"/>
      <c r="D49" s="156">
        <v>3761747</v>
      </c>
    </row>
    <row r="50" spans="2:4" ht="12.75">
      <c r="B50" s="151"/>
      <c r="C50" s="154"/>
      <c r="D50" s="154"/>
    </row>
    <row r="51" spans="2:5" ht="15">
      <c r="B51" s="20"/>
      <c r="C51" s="19"/>
      <c r="D51" s="17"/>
      <c r="E51" s="152"/>
    </row>
    <row r="52" spans="2:5" ht="15">
      <c r="B52" s="20" t="s">
        <v>75</v>
      </c>
      <c r="C52" s="19"/>
      <c r="D52" s="17"/>
      <c r="E52" s="152"/>
    </row>
    <row r="53" spans="2:5" ht="15">
      <c r="B53" s="20" t="s">
        <v>192</v>
      </c>
      <c r="C53" s="19"/>
      <c r="D53" s="155">
        <v>13320000</v>
      </c>
      <c r="E53" s="152"/>
    </row>
    <row r="54" spans="2:5" ht="15">
      <c r="B54" s="20" t="s">
        <v>193</v>
      </c>
      <c r="C54" s="19"/>
      <c r="D54" s="155">
        <v>1785884</v>
      </c>
      <c r="E54" s="152"/>
    </row>
    <row r="55" spans="2:5" ht="15">
      <c r="B55" s="20" t="s">
        <v>76</v>
      </c>
      <c r="C55" s="19"/>
      <c r="D55" s="155">
        <v>-9886</v>
      </c>
      <c r="E55" s="152"/>
    </row>
    <row r="56" spans="2:5" ht="15">
      <c r="B56" s="20" t="s">
        <v>194</v>
      </c>
      <c r="C56" s="19"/>
      <c r="D56" s="155">
        <v>-26016</v>
      </c>
      <c r="E56" s="152"/>
    </row>
    <row r="57" spans="2:5" ht="15">
      <c r="B57" s="20" t="s">
        <v>77</v>
      </c>
      <c r="C57" s="19"/>
      <c r="D57" s="155">
        <v>-63273</v>
      </c>
      <c r="E57" s="152"/>
    </row>
    <row r="58" spans="2:5" ht="15">
      <c r="B58" s="20" t="s">
        <v>195</v>
      </c>
      <c r="C58" s="19"/>
      <c r="D58" s="155">
        <v>-666770</v>
      </c>
      <c r="E58" s="152"/>
    </row>
    <row r="59" spans="2:5" ht="15">
      <c r="B59" s="20" t="s">
        <v>196</v>
      </c>
      <c r="C59" s="19"/>
      <c r="D59" s="155">
        <v>-2520424</v>
      </c>
      <c r="E59" s="152"/>
    </row>
    <row r="60" spans="2:5" ht="15">
      <c r="B60" s="20" t="s">
        <v>197</v>
      </c>
      <c r="C60" s="19"/>
      <c r="D60" s="155">
        <v>-2812839</v>
      </c>
      <c r="E60" s="152"/>
    </row>
    <row r="61" spans="2:5" ht="15.75" thickBot="1">
      <c r="B61" s="20" t="s">
        <v>198</v>
      </c>
      <c r="C61" s="19"/>
      <c r="D61" s="156">
        <v>-5000000</v>
      </c>
      <c r="E61" s="152"/>
    </row>
    <row r="62" spans="2:5" ht="15">
      <c r="B62" s="20"/>
      <c r="C62" s="19"/>
      <c r="D62" s="19"/>
      <c r="E62" s="152"/>
    </row>
    <row r="63" spans="2:5" ht="15.75" thickBot="1">
      <c r="B63" s="20" t="s">
        <v>199</v>
      </c>
      <c r="C63" s="19"/>
      <c r="D63" s="156">
        <v>4006676</v>
      </c>
      <c r="E63" s="152"/>
    </row>
    <row r="64" spans="2:5" ht="15">
      <c r="B64" s="20"/>
      <c r="C64" s="19"/>
      <c r="D64" s="17"/>
      <c r="E64" s="152"/>
    </row>
    <row r="65" spans="2:5" ht="14.25">
      <c r="B65" s="20" t="s">
        <v>200</v>
      </c>
      <c r="C65" s="19"/>
      <c r="D65" s="155">
        <v>18799987</v>
      </c>
      <c r="E65" s="24"/>
    </row>
    <row r="66" spans="2:5" ht="15">
      <c r="B66" s="20"/>
      <c r="C66" s="19"/>
      <c r="D66" s="19"/>
      <c r="E66" s="152"/>
    </row>
    <row r="67" spans="2:5" ht="28.5">
      <c r="B67" s="20" t="s">
        <v>201</v>
      </c>
      <c r="C67" s="19"/>
      <c r="D67" s="19"/>
      <c r="E67" s="152"/>
    </row>
    <row r="68" spans="2:5" ht="15.75" thickBot="1">
      <c r="B68" s="20"/>
      <c r="C68" s="19"/>
      <c r="D68" s="158">
        <v>2</v>
      </c>
      <c r="E68" s="152"/>
    </row>
    <row r="69" spans="2:5" ht="15">
      <c r="B69" s="20"/>
      <c r="C69" s="19"/>
      <c r="D69" s="19"/>
      <c r="E69" s="152"/>
    </row>
    <row r="70" spans="2:5" ht="15.75" thickBot="1">
      <c r="B70" s="20" t="s">
        <v>202</v>
      </c>
      <c r="C70" s="19">
        <v>26</v>
      </c>
      <c r="D70" s="159">
        <v>18799989</v>
      </c>
      <c r="E70" s="152"/>
    </row>
    <row r="71" spans="2:5" ht="13.5" thickTop="1">
      <c r="B71" s="151"/>
      <c r="C71" s="154"/>
      <c r="D71" s="154"/>
      <c r="E71" s="151"/>
    </row>
    <row r="72" ht="14.25">
      <c r="B72" s="60"/>
    </row>
    <row r="73" ht="14.25">
      <c r="B73" s="51"/>
    </row>
    <row r="74" ht="14.25">
      <c r="B74" s="51"/>
    </row>
    <row r="75" spans="2:4" ht="15">
      <c r="B75" s="161" t="s">
        <v>212</v>
      </c>
      <c r="C75"/>
      <c r="D75"/>
    </row>
    <row r="76" spans="2:4" ht="14.25">
      <c r="B76" s="150"/>
      <c r="C76"/>
      <c r="D76"/>
    </row>
    <row r="77" spans="2:4" ht="42.75">
      <c r="B77" s="150" t="s">
        <v>203</v>
      </c>
      <c r="C77"/>
      <c r="D77"/>
    </row>
    <row r="78" spans="2:4" ht="14.25">
      <c r="B78" s="150"/>
      <c r="C78"/>
      <c r="D78"/>
    </row>
    <row r="79" spans="2:7" ht="15.75" thickBot="1">
      <c r="B79" s="25"/>
      <c r="D79" s="162" t="s">
        <v>204</v>
      </c>
      <c r="E79" s="163"/>
      <c r="F79" s="264"/>
      <c r="G79" s="264"/>
    </row>
    <row r="80" spans="2:7" ht="15">
      <c r="B80" s="25"/>
      <c r="D80" s="17">
        <v>2009</v>
      </c>
      <c r="E80" s="163"/>
      <c r="F80" s="164"/>
      <c r="G80" s="163"/>
    </row>
    <row r="81" spans="2:7" ht="15">
      <c r="B81" s="20"/>
      <c r="D81" s="17" t="s">
        <v>179</v>
      </c>
      <c r="E81" s="163"/>
      <c r="F81" s="164"/>
      <c r="G81" s="163"/>
    </row>
    <row r="82" spans="2:7" ht="15">
      <c r="B82" s="20"/>
      <c r="D82" s="17"/>
      <c r="E82" s="163"/>
      <c r="F82" s="164"/>
      <c r="G82" s="164"/>
    </row>
    <row r="83" spans="2:7" ht="14.25">
      <c r="B83" s="20" t="s">
        <v>205</v>
      </c>
      <c r="D83" s="155">
        <v>8538068</v>
      </c>
      <c r="E83" s="165"/>
      <c r="F83" s="166"/>
      <c r="G83" s="166"/>
    </row>
    <row r="84" spans="2:7" ht="15">
      <c r="B84" s="20" t="s">
        <v>206</v>
      </c>
      <c r="D84" s="17"/>
      <c r="E84" s="163"/>
      <c r="F84" s="164"/>
      <c r="G84" s="164"/>
    </row>
    <row r="85" spans="2:7" ht="14.25">
      <c r="B85" s="20" t="s">
        <v>207</v>
      </c>
      <c r="D85" s="155">
        <v>19711108</v>
      </c>
      <c r="E85" s="166"/>
      <c r="F85" s="167"/>
      <c r="G85" s="166"/>
    </row>
    <row r="86" spans="2:7" ht="14.25">
      <c r="B86" s="20" t="s">
        <v>208</v>
      </c>
      <c r="D86" s="155">
        <v>3199333</v>
      </c>
      <c r="E86" s="165"/>
      <c r="F86" s="167"/>
      <c r="G86" s="166"/>
    </row>
    <row r="87" spans="2:7" ht="15" thickBot="1">
      <c r="B87" s="20" t="s">
        <v>209</v>
      </c>
      <c r="D87" s="156">
        <v>-3959186</v>
      </c>
      <c r="E87" s="166"/>
      <c r="F87" s="167"/>
      <c r="G87" s="166"/>
    </row>
    <row r="88" spans="2:7" ht="14.25">
      <c r="B88" s="20"/>
      <c r="D88" s="19"/>
      <c r="E88" s="166"/>
      <c r="F88" s="167"/>
      <c r="G88" s="166"/>
    </row>
    <row r="89" spans="2:7" ht="14.25">
      <c r="B89" s="20"/>
      <c r="D89" s="155">
        <v>27489323</v>
      </c>
      <c r="E89" s="165"/>
      <c r="F89" s="167"/>
      <c r="G89" s="166"/>
    </row>
    <row r="90" spans="2:7" ht="15">
      <c r="B90" s="20" t="s">
        <v>210</v>
      </c>
      <c r="D90" s="17"/>
      <c r="E90" s="163"/>
      <c r="F90" s="164"/>
      <c r="G90" s="163"/>
    </row>
    <row r="91" spans="2:7" ht="15" thickBot="1">
      <c r="B91" s="20" t="s">
        <v>211</v>
      </c>
      <c r="D91" s="156">
        <v>-8689334</v>
      </c>
      <c r="E91" s="168"/>
      <c r="F91" s="168"/>
      <c r="G91" s="166"/>
    </row>
    <row r="92" spans="2:7" ht="14.25">
      <c r="B92" s="20"/>
      <c r="D92" s="19"/>
      <c r="E92" s="168"/>
      <c r="F92" s="168"/>
      <c r="G92" s="166"/>
    </row>
    <row r="93" spans="2:7" ht="15" thickBot="1">
      <c r="B93" s="20"/>
      <c r="D93" s="159">
        <v>18799989</v>
      </c>
      <c r="E93" s="169"/>
      <c r="F93" s="168"/>
      <c r="G93" s="166"/>
    </row>
    <row r="94" spans="2:4" ht="15" thickTop="1">
      <c r="B94" s="150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189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statement2'!B1</f>
        <v>HANDAL RESOURCES  BERHAD (816839-X)</v>
      </c>
    </row>
    <row r="3" spans="2:7" s="51" customFormat="1" ht="15">
      <c r="B3" s="16" t="s">
        <v>87</v>
      </c>
      <c r="G3" s="190"/>
    </row>
    <row r="4" spans="2:10" s="51" customFormat="1" ht="15" customHeight="1">
      <c r="B4" s="16" t="s">
        <v>257</v>
      </c>
      <c r="E4" s="39"/>
      <c r="F4" s="39"/>
      <c r="G4" s="191"/>
      <c r="H4" s="39"/>
      <c r="I4" s="39"/>
      <c r="J4" s="39"/>
    </row>
    <row r="5" spans="2:10" s="51" customFormat="1" ht="15" customHeight="1">
      <c r="B5" s="16"/>
      <c r="E5" s="249" t="s">
        <v>213</v>
      </c>
      <c r="F5" s="56"/>
      <c r="G5" s="249" t="s">
        <v>258</v>
      </c>
      <c r="I5" s="249" t="s">
        <v>259</v>
      </c>
      <c r="J5" s="249" t="s">
        <v>214</v>
      </c>
    </row>
    <row r="6" spans="2:10" s="51" customFormat="1" ht="15" customHeight="1">
      <c r="B6" s="16"/>
      <c r="E6" s="249"/>
      <c r="F6" s="56"/>
      <c r="G6" s="249"/>
      <c r="I6" s="266"/>
      <c r="J6" s="266"/>
    </row>
    <row r="7" spans="2:10" s="51" customFormat="1" ht="15" customHeight="1">
      <c r="B7" s="16"/>
      <c r="E7" s="249"/>
      <c r="F7" s="56"/>
      <c r="G7" s="249"/>
      <c r="I7" s="266"/>
      <c r="J7" s="266"/>
    </row>
    <row r="8" spans="2:10" s="51" customFormat="1" ht="45" customHeight="1">
      <c r="B8" s="16"/>
      <c r="E8" s="249"/>
      <c r="F8" s="56"/>
      <c r="G8" s="249"/>
      <c r="I8" s="266"/>
      <c r="J8" s="266"/>
    </row>
    <row r="9" spans="2:10" s="51" customFormat="1" ht="15" customHeight="1">
      <c r="B9" s="16"/>
      <c r="E9" s="58" t="s">
        <v>3</v>
      </c>
      <c r="F9" s="58"/>
      <c r="G9" s="192" t="s">
        <v>3</v>
      </c>
      <c r="I9" s="188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93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194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195">
        <f>'[10]Sheet2'!$W$8</f>
        <v>4938</v>
      </c>
      <c r="H12" s="21"/>
      <c r="I12" s="21">
        <v>20412</v>
      </c>
      <c r="J12" s="21">
        <f>'CF12.09'!D12/1000</f>
        <v>13768.765</v>
      </c>
      <c r="K12" s="184"/>
    </row>
    <row r="13" spans="2:11" s="51" customFormat="1" ht="14.25">
      <c r="B13" s="20"/>
      <c r="C13" s="19"/>
      <c r="D13" s="19"/>
      <c r="E13" s="21"/>
      <c r="F13" s="21"/>
      <c r="G13" s="195"/>
      <c r="H13" s="21"/>
      <c r="I13" s="21"/>
      <c r="J13" s="21"/>
      <c r="K13" s="184"/>
    </row>
    <row r="14" spans="2:11" s="51" customFormat="1" ht="15" thickBot="1">
      <c r="B14" s="211" t="s">
        <v>111</v>
      </c>
      <c r="C14" s="19"/>
      <c r="D14" s="19"/>
      <c r="E14" s="21" t="e">
        <f>'[4]cashflow.'!$V$17</f>
        <v>#REF!</v>
      </c>
      <c r="F14" s="21"/>
      <c r="G14" s="195">
        <f>'[10]Sheet2'!$X$20</f>
        <v>4416.92085</v>
      </c>
      <c r="H14" s="21"/>
      <c r="I14" s="22">
        <v>5087</v>
      </c>
      <c r="J14" s="22">
        <f>'CF12.09'!E22/1000</f>
        <v>914.288</v>
      </c>
      <c r="K14" s="184"/>
    </row>
    <row r="15" spans="2:11" s="51" customFormat="1" ht="14.25">
      <c r="B15" s="212"/>
      <c r="C15" s="19"/>
      <c r="D15" s="19"/>
      <c r="E15" s="23"/>
      <c r="F15" s="28"/>
      <c r="G15" s="196"/>
      <c r="H15" s="28"/>
      <c r="I15" s="28"/>
      <c r="J15" s="21"/>
      <c r="K15" s="184"/>
    </row>
    <row r="16" spans="2:11" s="51" customFormat="1" ht="15.75" customHeight="1">
      <c r="B16" s="211" t="s">
        <v>8</v>
      </c>
      <c r="C16" s="19"/>
      <c r="D16" s="19"/>
      <c r="E16" s="49">
        <f>'[4]cashflow.'!$U$21</f>
        <v>3906</v>
      </c>
      <c r="F16" s="49"/>
      <c r="G16" s="197">
        <f>SUM(G12:G14)</f>
        <v>9354.92085</v>
      </c>
      <c r="H16" s="21"/>
      <c r="I16" s="49">
        <f>SUM(I12:I14)</f>
        <v>25499</v>
      </c>
      <c r="J16" s="49">
        <f>'CF12.09'!D24/1000</f>
        <v>14683.053</v>
      </c>
      <c r="K16" s="184"/>
    </row>
    <row r="17" spans="2:15" s="51" customFormat="1" ht="14.25">
      <c r="B17" s="213"/>
      <c r="C17" s="24"/>
      <c r="D17" s="24"/>
      <c r="E17" s="21"/>
      <c r="F17" s="21"/>
      <c r="G17" s="195"/>
      <c r="H17" s="21"/>
      <c r="I17" s="21"/>
      <c r="J17" s="21"/>
      <c r="K17" s="208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195" t="e">
        <f>'[1]cashflow.'!F22</f>
        <v>#REF!</v>
      </c>
      <c r="H18" s="21"/>
      <c r="I18" s="21"/>
      <c r="J18" s="21" t="s">
        <v>24</v>
      </c>
      <c r="K18" s="208"/>
      <c r="L18" s="19"/>
    </row>
    <row r="19" spans="2:12" s="51" customFormat="1" ht="14.25" customHeight="1">
      <c r="B19" s="41" t="s">
        <v>238</v>
      </c>
      <c r="C19" s="24"/>
      <c r="D19" s="24"/>
      <c r="E19" s="21">
        <f>'[4]cashflow.'!$U$23</f>
        <v>312.60903000000053</v>
      </c>
      <c r="F19" s="21"/>
      <c r="G19" s="195">
        <f>'[10]Sheet2'!$W$24</f>
        <v>857.4757900000005</v>
      </c>
      <c r="H19" s="21"/>
      <c r="I19" s="21">
        <v>358</v>
      </c>
      <c r="J19" s="21">
        <f>'CF12.09'!D26/1000</f>
        <v>1005.378</v>
      </c>
      <c r="K19" s="208"/>
      <c r="L19" s="19"/>
    </row>
    <row r="20" spans="2:12" s="51" customFormat="1" ht="14.25" customHeight="1">
      <c r="B20" s="41" t="s">
        <v>239</v>
      </c>
      <c r="C20" s="24"/>
      <c r="D20" s="24"/>
      <c r="E20" s="21">
        <f>'[4]cashflow.'!$U$24</f>
        <v>-1741.777379999996</v>
      </c>
      <c r="F20" s="21"/>
      <c r="G20" s="195">
        <f>'[10]Sheet2'!$W$25</f>
        <v>-8489.619</v>
      </c>
      <c r="H20" s="21"/>
      <c r="I20" s="21">
        <v>2131</v>
      </c>
      <c r="J20" s="21">
        <f>'CF12.09'!D27/1000</f>
        <v>2638.376</v>
      </c>
      <c r="K20" s="208"/>
      <c r="L20" s="19"/>
    </row>
    <row r="21" spans="2:12" s="51" customFormat="1" ht="14.25" customHeight="1">
      <c r="B21" s="41" t="s">
        <v>249</v>
      </c>
      <c r="C21" s="24"/>
      <c r="D21" s="24"/>
      <c r="E21" s="21">
        <f>'[4]cashflow.'!$U$25</f>
        <v>-1991.7909599999984</v>
      </c>
      <c r="F21" s="21"/>
      <c r="G21" s="195">
        <f>'[10]Sheet2'!$W$26</f>
        <v>-2515.199209999998</v>
      </c>
      <c r="H21" s="21"/>
      <c r="I21" s="21">
        <v>-12619</v>
      </c>
      <c r="J21" s="21">
        <f>'CF12.09'!D28/1000</f>
        <v>-3186.2</v>
      </c>
      <c r="K21" s="208"/>
      <c r="L21" s="19"/>
    </row>
    <row r="22" spans="2:12" s="51" customFormat="1" ht="14.25" customHeight="1">
      <c r="B22" s="212" t="s">
        <v>240</v>
      </c>
      <c r="C22" s="24"/>
      <c r="D22" s="24"/>
      <c r="E22" s="21">
        <f>'[4]cashflow.'!$U$26</f>
        <v>770.346</v>
      </c>
      <c r="F22" s="21"/>
      <c r="G22" s="195">
        <f>'[10]Sheet2'!$W$27</f>
        <v>7791.15222</v>
      </c>
      <c r="H22" s="21"/>
      <c r="I22" s="21">
        <v>-1243</v>
      </c>
      <c r="J22" s="21">
        <f>'CF12.09'!D29/1000</f>
        <v>-1774.921</v>
      </c>
      <c r="K22" s="208"/>
      <c r="L22" s="19"/>
    </row>
    <row r="23" spans="2:12" s="51" customFormat="1" ht="14.25" customHeight="1">
      <c r="B23" s="41" t="s">
        <v>241</v>
      </c>
      <c r="C23" s="20"/>
      <c r="D23" s="20"/>
      <c r="E23" s="21">
        <f>'[4]cashflow.'!$U$27</f>
        <v>8.91215000000011</v>
      </c>
      <c r="F23" s="21"/>
      <c r="G23" s="195">
        <f>'[10]Sheet2'!$W$28</f>
        <v>-288.27785000000034</v>
      </c>
      <c r="H23" s="21"/>
      <c r="I23" s="21">
        <v>-3258</v>
      </c>
      <c r="J23" s="21">
        <f>'CF12.09'!D30/1000</f>
        <v>1373.389</v>
      </c>
      <c r="K23" s="208"/>
      <c r="L23" s="19"/>
    </row>
    <row r="24" spans="2:12" s="51" customFormat="1" ht="14.25" customHeight="1">
      <c r="B24" s="41" t="s">
        <v>250</v>
      </c>
      <c r="C24" s="20"/>
      <c r="D24" s="20"/>
      <c r="E24" s="21">
        <f>'[4]cashflow.'!$U$28</f>
        <v>-230.72018999999818</v>
      </c>
      <c r="F24" s="21"/>
      <c r="G24" s="195">
        <f>'[10]Sheet2'!$W$32</f>
        <v>1765.6553300000005</v>
      </c>
      <c r="H24" s="21"/>
      <c r="I24" s="21">
        <v>2370</v>
      </c>
      <c r="J24" s="21">
        <f>'CF12.09'!D31/1000</f>
        <v>189.777</v>
      </c>
      <c r="K24" s="208"/>
      <c r="L24" s="19"/>
    </row>
    <row r="25" spans="2:12" s="51" customFormat="1" ht="14.25" customHeight="1">
      <c r="B25" s="212" t="s">
        <v>248</v>
      </c>
      <c r="C25" s="20"/>
      <c r="D25" s="20"/>
      <c r="E25" s="21"/>
      <c r="F25" s="21"/>
      <c r="G25" s="195">
        <f>'[10]Sheet2'!$W$33</f>
        <v>-3256.989</v>
      </c>
      <c r="H25" s="21"/>
      <c r="I25" s="21">
        <v>3256</v>
      </c>
      <c r="J25" s="21"/>
      <c r="K25" s="208"/>
      <c r="L25" s="19"/>
    </row>
    <row r="26" spans="2:12" s="51" customFormat="1" ht="15" thickBot="1">
      <c r="B26" s="40" t="s">
        <v>251</v>
      </c>
      <c r="C26" s="20"/>
      <c r="D26" s="20"/>
      <c r="E26" s="22">
        <f>'[4]cashflow.'!$U$29</f>
        <v>-780.1700500000002</v>
      </c>
      <c r="F26" s="28"/>
      <c r="G26" s="198">
        <f>'[10]Sheet2'!$W$34</f>
        <v>6628.657219999999</v>
      </c>
      <c r="H26" s="28"/>
      <c r="I26" s="22">
        <v>60</v>
      </c>
      <c r="J26" s="22">
        <f>'CF12.09'!D32/1000</f>
        <v>-271.731</v>
      </c>
      <c r="K26" s="208"/>
      <c r="L26" s="19"/>
    </row>
    <row r="27" spans="2:12" s="51" customFormat="1" ht="14.25">
      <c r="B27" s="213"/>
      <c r="C27" s="24"/>
      <c r="D27" s="24"/>
      <c r="E27" s="21"/>
      <c r="F27" s="21"/>
      <c r="G27" s="195"/>
      <c r="H27" s="21"/>
      <c r="I27" s="21"/>
      <c r="J27" s="21"/>
      <c r="K27" s="208"/>
      <c r="L27" s="19"/>
    </row>
    <row r="28" spans="2:12" s="51" customFormat="1" ht="14.25" customHeight="1">
      <c r="B28" s="211" t="s">
        <v>105</v>
      </c>
      <c r="C28" s="20"/>
      <c r="D28" s="20"/>
      <c r="E28" s="49">
        <f>'[4]cashflow.'!$U$32</f>
        <v>254.40860000000794</v>
      </c>
      <c r="F28" s="49"/>
      <c r="G28" s="197">
        <f>SUM(G19:G27)+G16</f>
        <v>11847.776350000002</v>
      </c>
      <c r="H28" s="21"/>
      <c r="I28" s="49">
        <f>SUM(I16:I26)</f>
        <v>16554</v>
      </c>
      <c r="J28" s="49">
        <f>'CF12.09'!D34/1000</f>
        <v>14657.121</v>
      </c>
      <c r="K28" s="208"/>
      <c r="L28" s="19"/>
    </row>
    <row r="29" spans="2:12" s="51" customFormat="1" ht="14.25" customHeight="1">
      <c r="B29" s="211"/>
      <c r="C29" s="20"/>
      <c r="D29" s="20"/>
      <c r="E29" s="49"/>
      <c r="F29" s="49"/>
      <c r="G29" s="197"/>
      <c r="H29" s="21"/>
      <c r="I29" s="49"/>
      <c r="J29" s="49"/>
      <c r="K29" s="208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195">
        <f>'[10]Sheet2'!$W$41+'[10]Sheet2'!$W$42</f>
        <v>-1984.57876</v>
      </c>
      <c r="H30" s="21"/>
      <c r="I30" s="21">
        <v>-331</v>
      </c>
      <c r="J30" s="21">
        <f>'CF12.09'!D36/1000</f>
        <v>-134.101</v>
      </c>
      <c r="K30" s="208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195">
        <f>'[10]Sheet2'!$W$43</f>
        <v>-2779</v>
      </c>
      <c r="H31" s="28"/>
      <c r="I31" s="28">
        <v>-4846</v>
      </c>
      <c r="J31" s="21">
        <f>'CF12.09'!D37/1000</f>
        <v>-3491.456</v>
      </c>
      <c r="K31" s="208"/>
      <c r="L31" s="19"/>
    </row>
    <row r="32" spans="2:12" s="51" customFormat="1" ht="15" thickBot="1">
      <c r="B32" s="45"/>
      <c r="C32" s="18"/>
      <c r="D32" s="18"/>
      <c r="E32" s="22"/>
      <c r="F32" s="28"/>
      <c r="G32" s="198"/>
      <c r="H32" s="21"/>
      <c r="I32" s="22"/>
      <c r="J32" s="22"/>
      <c r="K32" s="208"/>
      <c r="L32" s="19"/>
    </row>
    <row r="33" spans="2:12" s="51" customFormat="1" ht="15.75" thickBot="1">
      <c r="B33" s="214" t="s">
        <v>44</v>
      </c>
      <c r="C33" s="18"/>
      <c r="D33" s="18"/>
      <c r="E33" s="50">
        <f>'[4]cashflow.'!$U$37</f>
        <v>-620.5913999999921</v>
      </c>
      <c r="F33" s="112"/>
      <c r="G33" s="199">
        <f>SUM(G28:G32)</f>
        <v>7084.197590000002</v>
      </c>
      <c r="H33" s="28"/>
      <c r="I33" s="50">
        <f>SUM(I28:I32)</f>
        <v>11377</v>
      </c>
      <c r="J33" s="160">
        <f>'CF12.09'!D39/1000</f>
        <v>11031.564</v>
      </c>
      <c r="K33" s="208"/>
      <c r="L33" s="19"/>
    </row>
    <row r="34" spans="2:12" s="51" customFormat="1" ht="14.25">
      <c r="B34" s="45"/>
      <c r="C34" s="18"/>
      <c r="D34" s="18"/>
      <c r="E34" s="102"/>
      <c r="F34" s="102"/>
      <c r="G34" s="200"/>
      <c r="H34" s="102"/>
      <c r="I34" s="102"/>
      <c r="J34" s="102"/>
      <c r="K34" s="208"/>
      <c r="L34" s="19"/>
    </row>
    <row r="35" spans="2:12" s="51" customFormat="1" ht="14.25">
      <c r="B35" s="45"/>
      <c r="C35" s="19"/>
      <c r="D35" s="19"/>
      <c r="E35" s="21"/>
      <c r="F35" s="21"/>
      <c r="G35" s="195"/>
      <c r="H35" s="21"/>
      <c r="I35" s="21"/>
      <c r="J35" s="21"/>
      <c r="K35" s="208"/>
      <c r="L35" s="19"/>
    </row>
    <row r="36" spans="2:12" s="51" customFormat="1" ht="15" customHeight="1">
      <c r="B36" s="214" t="s">
        <v>71</v>
      </c>
      <c r="C36" s="25"/>
      <c r="D36" s="25"/>
      <c r="E36" s="21"/>
      <c r="F36" s="21"/>
      <c r="G36" s="195"/>
      <c r="H36" s="21"/>
      <c r="I36" s="21"/>
      <c r="J36" s="21"/>
      <c r="K36" s="209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195">
        <f>'[10]Sheet2'!$W$49+'[10]Sheet2'!$W$50</f>
        <v>889.88693</v>
      </c>
      <c r="H37" s="21"/>
      <c r="I37" s="21">
        <v>235</v>
      </c>
      <c r="J37" s="21">
        <f>'CF12.09'!D45/1000+'CF12.09'!D44/1000</f>
        <v>419.404</v>
      </c>
      <c r="K37" s="208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195">
        <f>'[10]Sheet2'!$W$53</f>
        <v>-636.8870800000001</v>
      </c>
      <c r="H38" s="21"/>
      <c r="I38" s="21">
        <v>-3111</v>
      </c>
      <c r="J38" s="21">
        <f>'CF12.09'!D46/1000</f>
        <v>-500.682</v>
      </c>
      <c r="K38" s="208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195">
        <f>'[10]Sheet2'!$W$54+9600</f>
        <v>-23443.320999999996</v>
      </c>
      <c r="H39" s="21"/>
      <c r="I39" s="21">
        <v>-5533</v>
      </c>
      <c r="J39" s="21">
        <f>'CF12.09'!D47/1000</f>
        <v>-11636.454</v>
      </c>
      <c r="K39" s="208"/>
      <c r="L39" s="19"/>
    </row>
    <row r="40" spans="2:12" s="51" customFormat="1" ht="14.25">
      <c r="B40" s="45" t="s">
        <v>264</v>
      </c>
      <c r="C40" s="19"/>
      <c r="D40" s="19"/>
      <c r="E40" s="21"/>
      <c r="F40" s="21"/>
      <c r="G40" s="195">
        <v>-9600</v>
      </c>
      <c r="H40" s="21"/>
      <c r="I40" s="21">
        <v>0</v>
      </c>
      <c r="J40" s="21"/>
      <c r="K40" s="208"/>
      <c r="L40" s="19"/>
    </row>
    <row r="41" spans="2:12" s="51" customFormat="1" ht="14.25">
      <c r="B41" s="45" t="s">
        <v>265</v>
      </c>
      <c r="C41" s="19"/>
      <c r="D41" s="19"/>
      <c r="E41" s="21"/>
      <c r="F41" s="21"/>
      <c r="G41" s="195"/>
      <c r="H41" s="21"/>
      <c r="I41" s="21">
        <v>486</v>
      </c>
      <c r="J41" s="21"/>
      <c r="K41" s="208"/>
      <c r="L41" s="19"/>
    </row>
    <row r="42" spans="2:12" s="51" customFormat="1" ht="15" thickBot="1">
      <c r="B42" s="45"/>
      <c r="C42" s="19"/>
      <c r="D42" s="19"/>
      <c r="E42" s="22"/>
      <c r="F42" s="28"/>
      <c r="G42" s="198"/>
      <c r="H42" s="28"/>
      <c r="I42" s="22"/>
      <c r="J42" s="22"/>
      <c r="K42" s="208"/>
      <c r="L42" s="19"/>
    </row>
    <row r="43" spans="2:13" s="51" customFormat="1" ht="15.75" thickBot="1">
      <c r="B43" s="45" t="s">
        <v>134</v>
      </c>
      <c r="C43" s="18"/>
      <c r="D43" s="18"/>
      <c r="E43" s="50">
        <f>'[4]cashflow.'!$U$48</f>
        <v>-996</v>
      </c>
      <c r="F43" s="112"/>
      <c r="G43" s="199">
        <f>SUM(G37:G42)</f>
        <v>-32790.321149999996</v>
      </c>
      <c r="H43" s="28"/>
      <c r="I43" s="50">
        <f>SUM(I37:I42)</f>
        <v>-7923</v>
      </c>
      <c r="J43" s="50">
        <f>'CF12.09'!D49/1000</f>
        <v>3761.747</v>
      </c>
      <c r="K43" s="229"/>
      <c r="L43" s="19"/>
      <c r="M43" s="103"/>
    </row>
    <row r="44" spans="2:12" s="51" customFormat="1" ht="14.25">
      <c r="B44" s="213"/>
      <c r="C44" s="19"/>
      <c r="D44" s="19"/>
      <c r="E44" s="21"/>
      <c r="F44" s="21"/>
      <c r="G44" s="195"/>
      <c r="H44" s="21"/>
      <c r="I44" s="21"/>
      <c r="J44" s="21"/>
      <c r="K44" s="208"/>
      <c r="L44" s="19"/>
    </row>
    <row r="45" spans="2:12" s="51" customFormat="1" ht="15" customHeight="1">
      <c r="B45" s="214" t="s">
        <v>75</v>
      </c>
      <c r="C45" s="25"/>
      <c r="D45" s="25"/>
      <c r="E45" s="21"/>
      <c r="F45" s="21"/>
      <c r="G45" s="195"/>
      <c r="H45" s="21"/>
      <c r="I45" s="21"/>
      <c r="J45" s="21"/>
      <c r="K45" s="210"/>
      <c r="L45" s="18"/>
    </row>
    <row r="46" spans="2:12" s="51" customFormat="1" ht="14.25" customHeight="1" hidden="1">
      <c r="B46" s="212" t="s">
        <v>192</v>
      </c>
      <c r="C46" s="18"/>
      <c r="D46" s="18"/>
      <c r="E46" s="21">
        <v>0</v>
      </c>
      <c r="F46" s="21"/>
      <c r="G46" s="195">
        <v>0</v>
      </c>
      <c r="H46" s="21"/>
      <c r="I46" s="21">
        <v>0</v>
      </c>
      <c r="J46" s="21">
        <f>'CF12.09'!D53/1000</f>
        <v>13320</v>
      </c>
      <c r="K46" s="208"/>
      <c r="L46" s="19"/>
    </row>
    <row r="47" spans="2:12" s="51" customFormat="1" ht="14.25" customHeight="1" hidden="1">
      <c r="B47" s="212" t="s">
        <v>193</v>
      </c>
      <c r="C47" s="18"/>
      <c r="D47" s="18"/>
      <c r="E47" s="21">
        <f>'[4]cashflow.'!$U$55</f>
        <v>-161.806</v>
      </c>
      <c r="F47" s="21"/>
      <c r="G47" s="195">
        <v>0</v>
      </c>
      <c r="H47" s="21"/>
      <c r="I47" s="21">
        <v>0</v>
      </c>
      <c r="J47" s="21">
        <f>'CF12.09'!D54/1000</f>
        <v>1785.884</v>
      </c>
      <c r="K47" s="208"/>
      <c r="L47" s="19"/>
    </row>
    <row r="48" spans="2:12" s="51" customFormat="1" ht="14.25" customHeight="1">
      <c r="B48" s="212" t="s">
        <v>76</v>
      </c>
      <c r="C48" s="18"/>
      <c r="D48" s="18"/>
      <c r="E48" s="21">
        <f>'[4]cashflow.'!$U$52</f>
        <v>-6</v>
      </c>
      <c r="F48" s="21"/>
      <c r="G48" s="195">
        <f>'[10]Sheet2'!$W$61</f>
        <v>-16.97849</v>
      </c>
      <c r="H48" s="21"/>
      <c r="I48" s="21">
        <v>-21</v>
      </c>
      <c r="J48" s="21">
        <f>'CF12.09'!D55/1000</f>
        <v>-9.886</v>
      </c>
      <c r="K48" s="208"/>
      <c r="L48" s="19"/>
    </row>
    <row r="49" spans="2:12" s="51" customFormat="1" ht="14.25" customHeight="1">
      <c r="B49" s="212" t="s">
        <v>194</v>
      </c>
      <c r="C49" s="18"/>
      <c r="D49" s="18"/>
      <c r="E49" s="21">
        <f>'[4]cashflow.'!$U$53</f>
        <v>-15</v>
      </c>
      <c r="F49" s="21"/>
      <c r="G49" s="195">
        <f>'[10]Sheet2'!$W$62</f>
        <v>-1217.75761</v>
      </c>
      <c r="H49" s="21"/>
      <c r="I49" s="21">
        <v>-303</v>
      </c>
      <c r="J49" s="21">
        <f>'CF12.09'!D56/1000</f>
        <v>-26.016</v>
      </c>
      <c r="K49" s="208"/>
      <c r="L49" s="19"/>
    </row>
    <row r="50" spans="2:12" s="51" customFormat="1" ht="14.25" customHeight="1">
      <c r="B50" s="212" t="s">
        <v>77</v>
      </c>
      <c r="C50" s="18"/>
      <c r="D50" s="18"/>
      <c r="E50" s="21">
        <f>'[4]cashflow.'!$U$54</f>
        <v>-440</v>
      </c>
      <c r="F50" s="21"/>
      <c r="G50" s="195">
        <f>'[10]Sheet2'!$W$63</f>
        <v>-50.29178999999998</v>
      </c>
      <c r="H50" s="21"/>
      <c r="I50" s="21">
        <v>-128</v>
      </c>
      <c r="J50" s="21">
        <f>'CF12.09'!D57/1000</f>
        <v>-63.273</v>
      </c>
      <c r="K50" s="208"/>
      <c r="L50" s="19"/>
    </row>
    <row r="51" spans="2:12" s="51" customFormat="1" ht="14.25" customHeight="1">
      <c r="B51" s="212" t="s">
        <v>195</v>
      </c>
      <c r="C51" s="18"/>
      <c r="D51" s="18"/>
      <c r="E51" s="21">
        <v>0</v>
      </c>
      <c r="F51" s="21"/>
      <c r="G51" s="201">
        <f>'[7]Sheet2'!$U$70</f>
        <v>0</v>
      </c>
      <c r="H51" s="28"/>
      <c r="I51" s="28">
        <v>-1303</v>
      </c>
      <c r="J51" s="21">
        <f>'CF12.09'!D58/1000</f>
        <v>-666.77</v>
      </c>
      <c r="K51" s="208"/>
      <c r="L51" s="19"/>
    </row>
    <row r="52" spans="2:12" s="51" customFormat="1" ht="14.25" customHeight="1">
      <c r="B52" s="212" t="s">
        <v>252</v>
      </c>
      <c r="C52" s="18"/>
      <c r="D52" s="18"/>
      <c r="E52" s="21"/>
      <c r="F52" s="21"/>
      <c r="G52" s="195">
        <f>'[7]Sheet2'!$U$65</f>
        <v>31200</v>
      </c>
      <c r="H52" s="28"/>
      <c r="I52" s="28">
        <v>0</v>
      </c>
      <c r="J52" s="21"/>
      <c r="K52" s="208"/>
      <c r="L52" s="19"/>
    </row>
    <row r="53" spans="2:12" s="51" customFormat="1" ht="14.25" customHeight="1">
      <c r="B53" s="212" t="s">
        <v>234</v>
      </c>
      <c r="C53" s="18"/>
      <c r="D53" s="18"/>
      <c r="E53" s="21">
        <f>'[4]cashflow.'!$U$51</f>
        <v>-1007.242</v>
      </c>
      <c r="F53" s="21"/>
      <c r="G53" s="195">
        <f>'[10]Sheet2'!$W$60</f>
        <v>787</v>
      </c>
      <c r="H53" s="28"/>
      <c r="I53" s="28">
        <v>205</v>
      </c>
      <c r="J53" s="21">
        <f>'CF12.09'!D60/1000</f>
        <v>-2812.839</v>
      </c>
      <c r="K53" s="208"/>
      <c r="L53" s="19"/>
    </row>
    <row r="54" spans="2:12" s="51" customFormat="1" ht="14.25" customHeight="1">
      <c r="B54" s="212" t="s">
        <v>235</v>
      </c>
      <c r="C54" s="18"/>
      <c r="D54" s="18"/>
      <c r="E54" s="21"/>
      <c r="F54" s="21"/>
      <c r="G54" s="195">
        <f>'[10]Sheet2'!$W$64</f>
        <v>12198</v>
      </c>
      <c r="H54" s="28"/>
      <c r="I54" s="28">
        <v>21657</v>
      </c>
      <c r="J54" s="21"/>
      <c r="K54" s="208"/>
      <c r="L54" s="19"/>
    </row>
    <row r="55" spans="2:12" s="51" customFormat="1" ht="14.25" customHeight="1">
      <c r="B55" s="212" t="s">
        <v>255</v>
      </c>
      <c r="C55" s="18"/>
      <c r="D55" s="18"/>
      <c r="E55" s="21"/>
      <c r="F55" s="21"/>
      <c r="G55" s="195">
        <v>0</v>
      </c>
      <c r="H55" s="28"/>
      <c r="I55" s="28">
        <v>-20000</v>
      </c>
      <c r="J55" s="21"/>
      <c r="K55" s="208"/>
      <c r="L55" s="19"/>
    </row>
    <row r="56" spans="2:12" s="51" customFormat="1" ht="14.25" customHeight="1">
      <c r="B56" s="212" t="s">
        <v>268</v>
      </c>
      <c r="C56" s="18"/>
      <c r="D56" s="18"/>
      <c r="E56" s="21"/>
      <c r="F56" s="21"/>
      <c r="G56" s="195"/>
      <c r="H56" s="28"/>
      <c r="I56" s="28">
        <v>10</v>
      </c>
      <c r="J56" s="21"/>
      <c r="K56" s="208"/>
      <c r="L56" s="19"/>
    </row>
    <row r="57" spans="2:12" s="51" customFormat="1" ht="14.25" customHeight="1" thickBot="1">
      <c r="B57" s="212" t="s">
        <v>228</v>
      </c>
      <c r="C57" s="18"/>
      <c r="D57" s="18"/>
      <c r="E57" s="22"/>
      <c r="F57" s="28"/>
      <c r="G57" s="201">
        <f>'[10]Sheet2'!$W$67</f>
        <v>-4800</v>
      </c>
      <c r="H57" s="28"/>
      <c r="I57" s="28">
        <v>-1800</v>
      </c>
      <c r="J57" s="22"/>
      <c r="K57" s="208"/>
      <c r="L57" s="19"/>
    </row>
    <row r="58" spans="2:12" s="51" customFormat="1" ht="14.25" customHeight="1" thickBot="1">
      <c r="B58" s="228"/>
      <c r="C58" s="18"/>
      <c r="D58" s="18"/>
      <c r="E58" s="22"/>
      <c r="F58" s="28"/>
      <c r="G58" s="198"/>
      <c r="H58" s="28"/>
      <c r="I58" s="22">
        <v>0</v>
      </c>
      <c r="J58" s="22"/>
      <c r="K58" s="208"/>
      <c r="L58" s="19"/>
    </row>
    <row r="59" spans="3:12" s="51" customFormat="1" ht="18" customHeight="1" thickBot="1">
      <c r="C59" s="20"/>
      <c r="D59" s="20"/>
      <c r="E59" s="53">
        <f>'[4]cashflow.'!$U$63</f>
        <v>-1267.048</v>
      </c>
      <c r="F59" s="173"/>
      <c r="G59" s="202">
        <f>SUM(G46:G57)</f>
        <v>38099.97211</v>
      </c>
      <c r="H59" s="28"/>
      <c r="I59" s="50">
        <f>SUM(I46:I58)</f>
        <v>-1683</v>
      </c>
      <c r="J59" s="50">
        <f>'CF12.09'!D63/1000</f>
        <v>4006.676</v>
      </c>
      <c r="K59" s="208"/>
      <c r="L59" s="19"/>
    </row>
    <row r="60" spans="2:12" s="51" customFormat="1" ht="14.25">
      <c r="B60" s="45"/>
      <c r="C60" s="18"/>
      <c r="D60" s="18"/>
      <c r="E60" s="102"/>
      <c r="F60" s="102"/>
      <c r="G60" s="200"/>
      <c r="H60" s="28"/>
      <c r="I60" s="28"/>
      <c r="J60" s="102"/>
      <c r="K60" s="208"/>
      <c r="L60" s="19"/>
    </row>
    <row r="61" spans="2:12" s="51" customFormat="1" ht="14.25" customHeight="1">
      <c r="B61" s="214" t="s">
        <v>145</v>
      </c>
      <c r="C61" s="18"/>
      <c r="D61" s="18"/>
      <c r="E61" s="21">
        <f>'[4]cashflow.'!$U$65</f>
        <v>-2883.639399999992</v>
      </c>
      <c r="F61" s="21"/>
      <c r="G61" s="195">
        <f>G33+G43+G59</f>
        <v>12393.84855000001</v>
      </c>
      <c r="H61" s="28"/>
      <c r="I61" s="28">
        <f>I33+I43+I59</f>
        <v>1771</v>
      </c>
      <c r="J61" s="21">
        <f>'CF12.09'!D65/1000</f>
        <v>18799.987</v>
      </c>
      <c r="K61" s="28"/>
      <c r="L61" s="19"/>
    </row>
    <row r="62" spans="2:12" s="51" customFormat="1" ht="14.25">
      <c r="B62" s="212"/>
      <c r="C62" s="19"/>
      <c r="D62" s="19"/>
      <c r="E62" s="21"/>
      <c r="F62" s="21"/>
      <c r="G62" s="195"/>
      <c r="H62" s="28"/>
      <c r="I62" s="28"/>
      <c r="J62" s="21"/>
      <c r="K62" s="208"/>
      <c r="L62" s="19"/>
    </row>
    <row r="63" spans="2:12" s="51" customFormat="1" ht="14.25" customHeight="1" thickBot="1">
      <c r="B63" s="265" t="s">
        <v>100</v>
      </c>
      <c r="C63" s="20"/>
      <c r="D63" s="20"/>
      <c r="E63" s="22">
        <f>'[4]cashflow.'!$U$67</f>
        <v>18800</v>
      </c>
      <c r="F63" s="28"/>
      <c r="G63" s="198">
        <f>'[5]Sheet2'!$U$76</f>
        <v>20570.722</v>
      </c>
      <c r="H63" s="28"/>
      <c r="I63" s="22">
        <v>18800</v>
      </c>
      <c r="J63" s="22">
        <f>'CF12.09'!D68/1000</f>
        <v>0.002</v>
      </c>
      <c r="K63" s="208"/>
      <c r="L63" s="19"/>
    </row>
    <row r="64" spans="2:12" s="51" customFormat="1" ht="14.25">
      <c r="B64" s="265"/>
      <c r="C64" s="20"/>
      <c r="D64" s="20"/>
      <c r="E64" s="102"/>
      <c r="F64" s="102"/>
      <c r="G64" s="200"/>
      <c r="H64" s="28"/>
      <c r="I64" s="28"/>
      <c r="J64" s="102"/>
      <c r="K64" s="208"/>
      <c r="L64" s="19"/>
    </row>
    <row r="65" spans="2:12" s="51" customFormat="1" ht="15.75" thickBot="1">
      <c r="B65" s="265" t="s">
        <v>135</v>
      </c>
      <c r="C65" s="20"/>
      <c r="D65" s="19"/>
      <c r="E65" s="111">
        <f>'[4]cashflow.'!$U$69</f>
        <v>15916.360600000007</v>
      </c>
      <c r="F65" s="112"/>
      <c r="G65" s="203">
        <f>SUM(G61:G63)</f>
        <v>32964.57055000001</v>
      </c>
      <c r="H65" s="112"/>
      <c r="I65" s="111">
        <f>SUM(I61:I63)</f>
        <v>20571</v>
      </c>
      <c r="J65" s="111">
        <f>'CF12.09'!D70/1000</f>
        <v>18799.989</v>
      </c>
      <c r="K65" s="208"/>
      <c r="L65" s="19"/>
    </row>
    <row r="66" spans="2:11" s="51" customFormat="1" ht="15" thickTop="1">
      <c r="B66" s="265"/>
      <c r="G66" s="190"/>
      <c r="H66" s="28"/>
      <c r="I66" s="28"/>
      <c r="K66" s="184"/>
    </row>
    <row r="67" spans="2:11" s="51" customFormat="1" ht="14.25">
      <c r="B67" s="12"/>
      <c r="G67" s="190"/>
      <c r="H67" s="28"/>
      <c r="I67" s="28"/>
      <c r="K67" s="184"/>
    </row>
    <row r="68" spans="2:11" s="51" customFormat="1" ht="14.25">
      <c r="B68" s="2" t="s">
        <v>96</v>
      </c>
      <c r="G68" s="190"/>
      <c r="H68" s="28"/>
      <c r="I68" s="28"/>
      <c r="K68" s="184"/>
    </row>
    <row r="69" spans="2:11" s="51" customFormat="1" ht="14.25">
      <c r="B69" s="12" t="s">
        <v>81</v>
      </c>
      <c r="E69" s="102">
        <f>'[4]cashflow.'!$N$75</f>
        <v>29350</v>
      </c>
      <c r="F69" s="102"/>
      <c r="G69" s="200">
        <f>'[10]Sheet2'!$W$83+'[10]Sheet2'!$W$84</f>
        <v>38068</v>
      </c>
      <c r="H69" s="28"/>
      <c r="I69" s="28">
        <v>31930</v>
      </c>
      <c r="J69" s="21">
        <f>'CF12.09'!D83/1000+'CF12.09'!D85/1000</f>
        <v>28249.176</v>
      </c>
      <c r="K69" s="184"/>
    </row>
    <row r="70" spans="2:11" s="51" customFormat="1" ht="14.25">
      <c r="B70" s="12" t="s">
        <v>82</v>
      </c>
      <c r="E70" s="102">
        <f>'[4]cashflow.'!$N$76</f>
        <v>3944</v>
      </c>
      <c r="F70" s="102"/>
      <c r="G70" s="200">
        <f>'[10]Sheet2'!$W$85</f>
        <v>12251</v>
      </c>
      <c r="H70" s="28"/>
      <c r="I70" s="28">
        <v>7333</v>
      </c>
      <c r="J70" s="21">
        <f>'CF12.09'!D86/1000</f>
        <v>3199.333</v>
      </c>
      <c r="K70" s="184"/>
    </row>
    <row r="71" spans="2:11" s="51" customFormat="1" ht="15" thickBot="1">
      <c r="B71" s="12" t="s">
        <v>83</v>
      </c>
      <c r="E71" s="123">
        <f>'[4]cashflow.'!$N$77</f>
        <v>-8541</v>
      </c>
      <c r="F71" s="174"/>
      <c r="G71" s="204">
        <f>'[10]Sheet2'!$W$86</f>
        <v>-4842</v>
      </c>
      <c r="I71" s="183">
        <v>-6885</v>
      </c>
      <c r="J71" s="22">
        <f>'CF12.09'!D87/1000</f>
        <v>-3959.186</v>
      </c>
      <c r="K71" s="184"/>
    </row>
    <row r="72" spans="2:11" s="51" customFormat="1" ht="14.25">
      <c r="B72" s="12"/>
      <c r="E72" s="102">
        <f>'[4]cashflow.'!$N$78</f>
        <v>24753</v>
      </c>
      <c r="F72" s="102"/>
      <c r="G72" s="200">
        <f>SUM(G69:G71)</f>
        <v>45477</v>
      </c>
      <c r="I72" s="102">
        <f>SUM(I69:I71)</f>
        <v>32378</v>
      </c>
      <c r="J72" s="21">
        <f>'CF12.09'!D89/1000</f>
        <v>27489.323</v>
      </c>
      <c r="K72" s="184"/>
    </row>
    <row r="73" spans="2:11" s="51" customFormat="1" ht="14.25">
      <c r="B73" s="43" t="s">
        <v>138</v>
      </c>
      <c r="C73" s="104"/>
      <c r="E73" s="102">
        <f>'[4]cashflow.'!$N$79</f>
        <v>-8843</v>
      </c>
      <c r="F73" s="102"/>
      <c r="G73" s="200">
        <f>'[10]Sheet2'!$W$88</f>
        <v>-12512</v>
      </c>
      <c r="I73" s="184">
        <v>-11807</v>
      </c>
      <c r="J73" s="21">
        <f>'CF12.09'!D91/1000</f>
        <v>-8689.334</v>
      </c>
      <c r="K73" s="184"/>
    </row>
    <row r="74" spans="2:11" s="51" customFormat="1" ht="15.75" thickBot="1">
      <c r="B74" s="12"/>
      <c r="E74" s="113">
        <f>'[4]cashflow.'!$N$80</f>
        <v>15910</v>
      </c>
      <c r="F74" s="175"/>
      <c r="G74" s="205">
        <f>SUM(G72:G73)</f>
        <v>32965</v>
      </c>
      <c r="H74" s="112"/>
      <c r="I74" s="182">
        <f>SUM(I72:I73)</f>
        <v>20571</v>
      </c>
      <c r="J74" s="170">
        <f>'CF12.09'!D93/1000</f>
        <v>18799.989</v>
      </c>
      <c r="K74" s="184"/>
    </row>
    <row r="75" spans="7:11" s="51" customFormat="1" ht="15" thickTop="1">
      <c r="G75" s="207"/>
      <c r="H75" s="28"/>
      <c r="I75" s="28"/>
      <c r="K75" s="184"/>
    </row>
    <row r="76" spans="2:9" s="51" customFormat="1" ht="14.25" hidden="1">
      <c r="B76" s="51" t="s">
        <v>124</v>
      </c>
      <c r="E76" s="103"/>
      <c r="F76" s="103"/>
      <c r="G76" s="206"/>
      <c r="H76" s="28"/>
      <c r="I76" s="28"/>
    </row>
    <row r="77" s="51" customFormat="1" ht="12.75" customHeight="1">
      <c r="G77" s="190"/>
    </row>
    <row r="78" spans="2:7" s="51" customFormat="1" ht="16.5">
      <c r="B78" s="124" t="s">
        <v>227</v>
      </c>
      <c r="G78" s="190"/>
    </row>
    <row r="79" spans="2:7" s="51" customFormat="1" ht="16.5">
      <c r="B79" s="124" t="s">
        <v>247</v>
      </c>
      <c r="G79" s="190"/>
    </row>
    <row r="80" spans="2:7" s="51" customFormat="1" ht="16.5">
      <c r="B80" s="181" t="s">
        <v>99</v>
      </c>
      <c r="G80" s="190"/>
    </row>
  </sheetData>
  <sheetProtection/>
  <mergeCells count="6">
    <mergeCell ref="B63:B64"/>
    <mergeCell ref="B65:B66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Ahmad Haniff</cp:lastModifiedBy>
  <cp:lastPrinted>2012-02-22T09:23:04Z</cp:lastPrinted>
  <dcterms:created xsi:type="dcterms:W3CDTF">2002-11-05T00:02:16Z</dcterms:created>
  <dcterms:modified xsi:type="dcterms:W3CDTF">2012-02-22T09:46:25Z</dcterms:modified>
  <cp:category/>
  <cp:version/>
  <cp:contentType/>
  <cp:contentStatus/>
</cp:coreProperties>
</file>